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9" activeTab="1"/>
  </bookViews>
  <sheets>
    <sheet name="I&amp;P" sheetId="1" r:id="rId1"/>
    <sheet name="prod" sheetId="2" r:id="rId2"/>
    <sheet name="Ark1" sheetId="3" r:id="rId3"/>
    <sheet name="Ark2" sheetId="4" r:id="rId4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B17" authorId="0">
      <text>
        <r>
          <rPr>
            <sz val="10"/>
            <rFont val="Arial"/>
            <family val="2"/>
          </rPr>
          <t>årsrapport 2008 
under noternes punkt 25 om forpligtelser</t>
        </r>
      </text>
    </comment>
    <comment ref="E28" authorId="0">
      <text>
        <r>
          <rPr>
            <sz val="10"/>
            <rFont val="Arial"/>
            <family val="2"/>
          </rPr>
          <t xml:space="preserve">Noter Punkt 25 i </t>
        </r>
        <r>
          <rPr>
            <sz val="9"/>
            <color indexed="8"/>
            <rFont val="Frutiger-Light"/>
            <family val="2"/>
          </rPr>
          <t>2008 årsrapport</t>
        </r>
      </text>
    </comment>
    <comment ref="F28" authorId="0">
      <text>
        <r>
          <rPr>
            <sz val="10"/>
            <rFont val="Arial"/>
            <family val="2"/>
          </rPr>
          <t>baseret på prod. ”</t>
        </r>
        <r>
          <rPr>
            <sz val="9"/>
            <color indexed="8"/>
            <rFont val="Frutiger-Light"/>
            <family val="2"/>
          </rPr>
          <t>in 2008 was limited to 24,016,016 kWh,
against the expected 35,000,000 kWh” fra 2008 årsrapport</t>
        </r>
      </text>
    </comment>
    <comment ref="I29" authorId="0">
      <text>
        <r>
          <rPr>
            <sz val="10"/>
            <rFont val="Arial"/>
            <family val="2"/>
          </rPr>
          <t xml:space="preserve">Punkt 24 i </t>
        </r>
        <r>
          <rPr>
            <sz val="9"/>
            <color indexed="8"/>
            <rFont val="Frutiger-Light"/>
            <family val="2"/>
          </rPr>
          <t xml:space="preserve">2008 årsrapport
</t>
        </r>
      </text>
    </comment>
    <comment ref="E34" authorId="0">
      <text>
        <r>
          <rPr>
            <sz val="10"/>
            <rFont val="Arial"/>
            <family val="2"/>
          </rPr>
          <t xml:space="preserve">Noter Punkt 25 i </t>
        </r>
        <r>
          <rPr>
            <sz val="9"/>
            <color indexed="8"/>
            <rFont val="Frutiger-Light"/>
            <family val="2"/>
          </rPr>
          <t xml:space="preserve">2008 årsrapport
</t>
        </r>
      </text>
    </comment>
    <comment ref="E35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L35" authorId="0">
      <text>
        <r>
          <rPr>
            <sz val="10"/>
            <rFont val="Arial"/>
            <family val="2"/>
          </rPr>
          <t>Tidligere likviditet
Minus milestone
Plus ind fra projektlån
Minus konstr.udg
Plus ind fra 50%salg</t>
        </r>
      </text>
    </comment>
    <comment ref="N35" authorId="0">
      <text>
        <r>
          <rPr>
            <sz val="10"/>
            <rFont val="Arial"/>
            <family val="2"/>
          </rPr>
          <t>Tidligere likviditet
Plus ind fra projektlån
Minus konstr.udg
Plus ind fra 50%salg</t>
        </r>
      </text>
    </comment>
    <comment ref="P35" authorId="0">
      <text>
        <r>
          <rPr>
            <sz val="10"/>
            <rFont val="Arial"/>
            <family val="2"/>
          </rPr>
          <t>Tidligere likviditet
Plus ind fra projektlån
Minus konstr.udg
Plus ind fra 50%salg</t>
        </r>
      </text>
    </comment>
    <comment ref="R35" authorId="0">
      <text>
        <r>
          <rPr>
            <sz val="10"/>
            <rFont val="Arial"/>
            <family val="2"/>
          </rPr>
          <t>Tidligere likviditet
Plus ind fra projektlån
Minus konstr.udg
Plus ind fra 50%salg</t>
        </r>
      </text>
    </comment>
    <comment ref="E36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37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38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39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40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N40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P40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R40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T40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0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X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Z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B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0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1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N41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P4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R4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T4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1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X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Z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B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2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P42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R42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T42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2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2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Z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B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2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3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P43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R43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T43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3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3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Z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B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3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4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P44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R44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T44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4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4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Z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B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4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5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R45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T45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5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5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Z45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AB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5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6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R46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T46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V46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6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Z46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AB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D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6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47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48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49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T49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V49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X49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Z49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AB49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AD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F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H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49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50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E51" authorId="0">
      <text>
        <r>
          <rPr>
            <sz val="10"/>
            <rFont val="Arial"/>
            <family val="2"/>
          </rPr>
          <t xml:space="preserve">Bygget på subtotal
</t>
        </r>
      </text>
    </comment>
    <comment ref="X51" authorId="0">
      <text>
        <r>
          <rPr>
            <sz val="10"/>
            <rFont val="Arial"/>
            <family val="2"/>
          </rPr>
          <t>Tidligere likviditet
Minus milestone
Plus ind fra projektlån
Minus konstr.udg
Plus ind fra 50%salg
Minus konstr.udg
Plus ind fra 50%salg</t>
        </r>
      </text>
    </comment>
    <comment ref="Z5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AB5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AD51" authorId="0">
      <text>
        <r>
          <rPr>
            <sz val="10"/>
            <rFont val="Arial"/>
            <family val="2"/>
          </rPr>
          <t xml:space="preserve">Tidligere likviditet
Plus ind fra projektlån
Plus 1.kv.drift
</t>
        </r>
      </text>
    </comment>
    <comment ref="AF51" authorId="0">
      <text>
        <r>
          <rPr>
            <sz val="10"/>
            <rFont val="Arial"/>
            <family val="2"/>
          </rPr>
          <t xml:space="preserve">Tidligere likviditet
Plus ind fra projektlån
Minus konstr.udg
</t>
        </r>
      </text>
    </comment>
    <comment ref="AH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J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L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N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P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AR51" authorId="0">
      <text>
        <r>
          <rPr>
            <sz val="10"/>
            <rFont val="Arial"/>
            <family val="2"/>
          </rPr>
          <t xml:space="preserve">Tidligere likviditet
Plus drift
Minus betal projektlån
Minus landlease og
lokalskat
</t>
        </r>
      </text>
    </comment>
    <comment ref="E52" authorId="0">
      <text>
        <r>
          <rPr>
            <sz val="10"/>
            <rFont val="Arial"/>
            <family val="2"/>
          </rPr>
          <t xml:space="preserve">Bygget på subtotal
</t>
        </r>
      </text>
    </comment>
  </commentList>
</comments>
</file>

<file path=xl/sharedStrings.xml><?xml version="1.0" encoding="utf-8"?>
<sst xmlns="http://schemas.openxmlformats.org/spreadsheetml/2006/main" count="312" uniqueCount="178">
  <si>
    <t>Ekspanderet udvikling i Italien og Polen</t>
  </si>
  <si>
    <t>Alle beløb i mio. Euro</t>
  </si>
  <si>
    <t>kr.</t>
  </si>
  <si>
    <t>ikke opdateret</t>
  </si>
  <si>
    <t>FORUDSÆTNINGER 1:</t>
  </si>
  <si>
    <t>Resten holdes helt ude. Det vil reel sige at de danske og tyske parker finansierer Kollsnes og den basale GES-drift herunder skat.</t>
  </si>
  <si>
    <t>EDF EN køber 50% af alle ”ready to build” projekter, hvorefter konstruktion går i gang med det samme og varer et år.</t>
  </si>
  <si>
    <t>Cagliari III dog konstruktion 6 mdr.</t>
  </si>
  <si>
    <t>Projektlån etableres ved ”ready to build” og dækker 80 % (kvartalsvis bagud)</t>
  </si>
  <si>
    <t>Konstruktionsudgifter er ligeligt fordelt over konstruktionsperioden</t>
  </si>
  <si>
    <t>Nettilslutning ved konstruktionsperiodens udløb og 75% produktion i det første driftskvartal (på nær MG og MM), herefter 100% af GES-andel</t>
  </si>
  <si>
    <t>Afregningspriser som i 2008.</t>
  </si>
  <si>
    <t>Pipeline som det kan ses af www.greentech.dk, med suppl. fra GF2009</t>
  </si>
  <si>
    <t>FORUDSÆTNINGER 2:</t>
  </si>
  <si>
    <t>projektlån på MG, MM og Cag.II går i orden start 2009 Q3</t>
  </si>
  <si>
    <t>driftsudgifter på 15% af driftsindtægter</t>
  </si>
  <si>
    <t>For hvert kvartal betales 2% i rente og 0,5% i afdrag på projektlån</t>
  </si>
  <si>
    <t>For 9 Ital. projekter er der indgået milestonesaftale. Her indregnes ligelig MW-fordeling og 100% ved Ready to build.</t>
  </si>
  <si>
    <t>Konstruktionsudgifter på 850 pr. forventet årlig Mwh (der er også projektudviklingsudgifter, hvoraf en del er afholdt i nuværende pipeline)</t>
  </si>
  <si>
    <t>Projektværdi ved ready to build sat til 1100 Euro pr. forventet årlig Mwh</t>
  </si>
  <si>
    <t>Afsætningspris/MWh</t>
  </si>
  <si>
    <t>Italien</t>
  </si>
  <si>
    <t>Afsætningspris</t>
  </si>
  <si>
    <t>Polen</t>
  </si>
  <si>
    <t xml:space="preserve">MULIGHED </t>
  </si>
  <si>
    <t>Q2</t>
  </si>
  <si>
    <t>Q3</t>
  </si>
  <si>
    <t>Q4</t>
  </si>
  <si>
    <t>Q1</t>
  </si>
  <si>
    <t>r to b / net</t>
  </si>
  <si>
    <t>navn</t>
  </si>
  <si>
    <t>MW</t>
  </si>
  <si>
    <t>andel</t>
  </si>
  <si>
    <t>Annual pay</t>
  </si>
  <si>
    <t>100%MWh/Q</t>
  </si>
  <si>
    <t>likv.</t>
  </si>
  <si>
    <t>p.lån</t>
  </si>
  <si>
    <t>Energia Verde</t>
  </si>
  <si>
    <t>/09Q3</t>
  </si>
  <si>
    <t>Minerva Messina</t>
  </si>
  <si>
    <t>Cagliari II</t>
  </si>
  <si>
    <t>Monte Grihine</t>
  </si>
  <si>
    <t>subtotal</t>
  </si>
  <si>
    <t>09Q3/10Q1</t>
  </si>
  <si>
    <t>Cagliari III</t>
  </si>
  <si>
    <t>09Q4/10Q4</t>
  </si>
  <si>
    <t>Brindisi</t>
  </si>
  <si>
    <t>Ustka</t>
  </si>
  <si>
    <t>Parnowo</t>
  </si>
  <si>
    <t>10Q1/11Q1</t>
  </si>
  <si>
    <t>Puck</t>
  </si>
  <si>
    <t>10Q2/11Q2</t>
  </si>
  <si>
    <t>Osieki</t>
  </si>
  <si>
    <t>Candela</t>
  </si>
  <si>
    <t>Guardia dei Lombardi</t>
  </si>
  <si>
    <t>10Q3/11Q3</t>
  </si>
  <si>
    <t>Crotone</t>
  </si>
  <si>
    <t>Due Serri</t>
  </si>
  <si>
    <t>Carbonia</t>
  </si>
  <si>
    <t>10Q4/11Q4</t>
  </si>
  <si>
    <t>Francavilla Fontana</t>
  </si>
  <si>
    <t>Campo d'oro</t>
  </si>
  <si>
    <t>Wojciechowo</t>
  </si>
  <si>
    <t>Smolecin</t>
  </si>
  <si>
    <t>11Q1/12Q1</t>
  </si>
  <si>
    <t>Monte Grighine II</t>
  </si>
  <si>
    <t>11Q2/12Q2</t>
  </si>
  <si>
    <t>Porzecze-Dobiesław</t>
  </si>
  <si>
    <t>11Q3/12Q3</t>
  </si>
  <si>
    <t>Montemilone</t>
  </si>
  <si>
    <t>11Q4/12Q4</t>
  </si>
  <si>
    <t>Pomorze offshore</t>
  </si>
  <si>
    <t>Subtotal 2</t>
  </si>
  <si>
    <t>NyIndItalien 1</t>
  </si>
  <si>
    <t>NyIndItalien 2</t>
  </si>
  <si>
    <t>NyIndPolen 1</t>
  </si>
  <si>
    <t xml:space="preserve">ændringer i </t>
  </si>
  <si>
    <t>celle A18</t>
  </si>
  <si>
    <t>formler, hvor A18 anvendt</t>
  </si>
  <si>
    <t>kvartalsvise afregningspriser indført</t>
  </si>
  <si>
    <t>Brindisi færdig</t>
  </si>
  <si>
    <t>tilslutninger forår 2010</t>
  </si>
  <si>
    <t>(?)</t>
  </si>
  <si>
    <t>møller kommissioneret</t>
  </si>
  <si>
    <t>Mwh</t>
  </si>
  <si>
    <t>Teuro</t>
  </si>
  <si>
    <t>MG</t>
  </si>
  <si>
    <t>MM</t>
  </si>
  <si>
    <t>Mølledage</t>
  </si>
  <si>
    <t>januar</t>
  </si>
  <si>
    <t>februar</t>
  </si>
  <si>
    <t>(MM tæller 1,7)</t>
  </si>
  <si>
    <t>marts</t>
  </si>
  <si>
    <t>Greentech</t>
  </si>
  <si>
    <t>2008 inv</t>
  </si>
  <si>
    <t>år est.</t>
  </si>
  <si>
    <t>prod.drift (mio)</t>
  </si>
  <si>
    <t>MWh</t>
  </si>
  <si>
    <t>pris/KWh</t>
  </si>
  <si>
    <t xml:space="preserve">ind </t>
  </si>
  <si>
    <t>pris</t>
  </si>
  <si>
    <t>ind</t>
  </si>
  <si>
    <t>år,start</t>
  </si>
  <si>
    <t>Danmark</t>
  </si>
  <si>
    <t>Tyskland</t>
  </si>
  <si>
    <t>16/2 07</t>
  </si>
  <si>
    <t>Wormlage</t>
  </si>
  <si>
    <t>Tiefental</t>
  </si>
  <si>
    <t>Gehlenberg</t>
  </si>
  <si>
    <t>Połczyno</t>
  </si>
  <si>
    <t>.</t>
  </si>
  <si>
    <t>2009ult</t>
  </si>
  <si>
    <t>2010 primo</t>
  </si>
  <si>
    <t>15/7 07</t>
  </si>
  <si>
    <t>1/7 2009</t>
  </si>
  <si>
    <t>25/5 2009</t>
  </si>
  <si>
    <t>2010 ult</t>
  </si>
  <si>
    <t>Norge</t>
  </si>
  <si>
    <t>Kollsnes</t>
  </si>
  <si>
    <t>cash</t>
  </si>
  <si>
    <t>udestående</t>
  </si>
  <si>
    <t>lån</t>
  </si>
  <si>
    <t>år0</t>
  </si>
  <si>
    <t>billigt køb</t>
  </si>
  <si>
    <t>100MW</t>
  </si>
  <si>
    <t>år1</t>
  </si>
  <si>
    <t>tilladelser</t>
  </si>
  <si>
    <t>Salg ½</t>
  </si>
  <si>
    <t>50 MW</t>
  </si>
  <si>
    <t>Projektlån</t>
  </si>
  <si>
    <t>år2</t>
  </si>
  <si>
    <t>konstruktion</t>
  </si>
  <si>
    <t>afdrag og rente</t>
  </si>
  <si>
    <t>år3</t>
  </si>
  <si>
    <t>drift</t>
  </si>
  <si>
    <t>år 4</t>
  </si>
  <si>
    <t>År 5</t>
  </si>
  <si>
    <t>diverse oplysninger</t>
  </si>
  <si>
    <t>EUR =</t>
  </si>
  <si>
    <t>DkK</t>
  </si>
  <si>
    <t>projektværdier</t>
  </si>
  <si>
    <t>tekst</t>
  </si>
  <si>
    <t>pris/Mw</t>
  </si>
  <si>
    <t>www</t>
  </si>
  <si>
    <t>Nomura</t>
  </si>
  <si>
    <t>an attractive multiple below EUR 1300/kW</t>
  </si>
  <si>
    <t>(om MG)</t>
  </si>
  <si>
    <t>http://www.proinvestor.dk/uploads/debate/11516.pdf</t>
  </si>
  <si>
    <t>HenryAS</t>
  </si>
  <si>
    <t>november 2008 blev nævnt at et fuldt monteret anlæg blev handlet til 3,3 mill. EUR pr MW og tidligere iefteråret 3,1 mill EUR</t>
  </si>
  <si>
    <t>http://www.proinvestor.dk/index.php?p=debat&amp;postid=11616</t>
  </si>
  <si>
    <t xml:space="preserve">troldmanden </t>
  </si>
  <si>
    <t>Det er nu muligt at få helt nye projekter til under 100.000 euro per mw</t>
  </si>
  <si>
    <t>http://www.proinvestor.dk/index.php?p=debat&amp;postid=11495#</t>
  </si>
  <si>
    <t>det typisk koster 10-30.000 euro at udvikle én mw.</t>
  </si>
  <si>
    <t>Minerva Messina og Cagliari II. Her mangler der samlede investeringer på cirka 25 mio. euro</t>
  </si>
  <si>
    <t>http://finans.tv2.dk/nyheder/article.php?id=22422226</t>
  </si>
  <si>
    <r>
      <t>MG:</t>
    </r>
    <r>
      <rPr>
        <sz val="12"/>
        <rFont val=""/>
        <family val="1"/>
      </rPr>
      <t>projektfinansiering på sandsynligvis 100 mio. euro</t>
    </r>
  </si>
  <si>
    <t>GES inv</t>
  </si>
  <si>
    <t>Disponering af kapital i perioden 30.09.07 – 31.12.08</t>
  </si>
  <si>
    <t>Emissionsprovenu</t>
  </si>
  <si>
    <t>Investeringer:</t>
  </si>
  <si>
    <t>Monte Grighine</t>
  </si>
  <si>
    <t>Messina</t>
  </si>
  <si>
    <t>Energia Alternativa</t>
  </si>
  <si>
    <t>Øvrige</t>
  </si>
  <si>
    <t>In 2008, the Company succeeded in raising project financing</t>
  </si>
  <si>
    <t>fra regnskab2008</t>
  </si>
  <si>
    <t>for the Energia Verde and Minerva Messina projects</t>
  </si>
  <si>
    <t>in the amount of approximately TDKK 800,000</t>
  </si>
  <si>
    <t>Tysk konsortium vil investere 3000 Mia. i solfangeranlæg i Sahara</t>
  </si>
  <si>
    <t>eRoveryAgent</t>
  </si>
  <si>
    <t>kinesiske tegn</t>
  </si>
  <si>
    <t>15års lån</t>
  </si>
  <si>
    <t>eks</t>
  </si>
  <si>
    <t>r+a</t>
  </si>
  <si>
    <t>r</t>
  </si>
  <si>
    <t>a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</si>
</sst>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%"/>
    <numFmt numFmtId="166" formatCode="0.0000"/>
    <numFmt numFmtId="167" formatCode="0.000"/>
    <numFmt numFmtId="168" formatCode="0.00000"/>
    <numFmt numFmtId="169" formatCode="0"/>
    <numFmt numFmtId="170" formatCode="0.0"/>
    <numFmt numFmtId="171" formatCode="0%"/>
    <numFmt numFmtId="172" formatCode="DD/MM/YY"/>
    <numFmt numFmtId="173" formatCode="DD/MM/YY"/>
    <numFmt numFmtId="174" formatCode="#,##0"/>
    <numFmt numFmtId="175" formatCode="0.00"/>
    <numFmt numFmtId="176" formatCode="0.00%"/>
  </numFmts>
  <fonts count="2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Frutiger-Light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2"/>
      <name val=""/>
      <family val="1"/>
    </font>
    <font>
      <b/>
      <sz val="12"/>
      <color indexed="8"/>
      <name val="Verdana;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164" fontId="0" fillId="0" borderId="1" xfId="0" applyBorder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71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2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2" xfId="0" applyFont="1" applyBorder="1" applyAlignment="1">
      <alignment horizontal="center"/>
    </xf>
    <xf numFmtId="169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right"/>
    </xf>
    <xf numFmtId="171" fontId="6" fillId="0" borderId="4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164" fontId="5" fillId="0" borderId="0" xfId="0" applyFont="1" applyFill="1" applyBorder="1" applyAlignment="1">
      <alignment/>
    </xf>
    <xf numFmtId="164" fontId="5" fillId="0" borderId="5" xfId="0" applyFont="1" applyBorder="1" applyAlignment="1">
      <alignment horizontal="left"/>
    </xf>
    <xf numFmtId="164" fontId="6" fillId="0" borderId="6" xfId="0" applyFont="1" applyBorder="1" applyAlignment="1">
      <alignment horizontal="right"/>
    </xf>
    <xf numFmtId="171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4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2" fillId="0" borderId="4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74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tech.d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0"/>
  <sheetViews>
    <sheetView workbookViewId="0" topLeftCell="A1">
      <selection activeCell="D2" sqref="D2"/>
    </sheetView>
  </sheetViews>
  <sheetFormatPr defaultColWidth="9.140625" defaultRowHeight="12.75"/>
  <cols>
    <col min="2" max="2" width="18.7109375" style="0" customWidth="1"/>
    <col min="5" max="6" width="11.8515625" style="0" customWidth="1"/>
    <col min="9" max="9" width="7.28125" style="0" customWidth="1"/>
  </cols>
  <sheetData>
    <row r="1" spans="1:14" ht="17.25">
      <c r="A1" s="1" t="s">
        <v>0</v>
      </c>
      <c r="G1" s="2" t="s">
        <v>1</v>
      </c>
      <c r="J1">
        <v>7.45</v>
      </c>
      <c r="K1" t="s">
        <v>2</v>
      </c>
      <c r="L1" s="3">
        <f>I29*J1</f>
        <v>420.925</v>
      </c>
      <c r="N1" s="3">
        <f>K29*J1</f>
        <v>624.31</v>
      </c>
    </row>
    <row r="2" spans="2:12" ht="12.75">
      <c r="B2" s="4" t="s">
        <v>3</v>
      </c>
      <c r="L2" s="3">
        <f>A18*J1</f>
        <v>0.0063325000000000005</v>
      </c>
    </row>
    <row r="3" ht="12.75">
      <c r="A3" t="s">
        <v>4</v>
      </c>
    </row>
    <row r="4" ht="12.75">
      <c r="B4" t="s">
        <v>5</v>
      </c>
    </row>
    <row r="5" spans="2:14" ht="12.75">
      <c r="B5" t="s">
        <v>6</v>
      </c>
      <c r="N5" t="s">
        <v>7</v>
      </c>
    </row>
    <row r="6" ht="12.75">
      <c r="B6" t="s">
        <v>8</v>
      </c>
    </row>
    <row r="7" ht="12.75">
      <c r="B7" t="s">
        <v>9</v>
      </c>
    </row>
    <row r="8" spans="1:2" ht="12.75">
      <c r="A8">
        <v>0.75</v>
      </c>
      <c r="B8" t="s">
        <v>10</v>
      </c>
    </row>
    <row r="9" ht="12.75">
      <c r="B9" t="s">
        <v>11</v>
      </c>
    </row>
    <row r="10" ht="12.75">
      <c r="B10" s="5" t="s">
        <v>12</v>
      </c>
    </row>
    <row r="13" ht="12.75">
      <c r="A13" t="s">
        <v>13</v>
      </c>
    </row>
    <row r="14" ht="12.75">
      <c r="B14" t="s">
        <v>14</v>
      </c>
    </row>
    <row r="15" spans="1:2" ht="12.75">
      <c r="A15">
        <v>0.85</v>
      </c>
      <c r="B15" t="s">
        <v>15</v>
      </c>
    </row>
    <row r="16" spans="1:2" ht="12.75">
      <c r="A16" s="6">
        <v>0.025</v>
      </c>
      <c r="B16" t="s">
        <v>16</v>
      </c>
    </row>
    <row r="17" spans="1:2" ht="12.75">
      <c r="A17" s="3">
        <f>52.25/455</f>
        <v>0.11483516483516483</v>
      </c>
      <c r="B17" t="s">
        <v>17</v>
      </c>
    </row>
    <row r="18" spans="1:2" ht="12.75">
      <c r="A18" s="7">
        <v>0.0008500000000000001</v>
      </c>
      <c r="B18" t="s">
        <v>18</v>
      </c>
    </row>
    <row r="19" spans="1:2" ht="12.75">
      <c r="A19" s="7">
        <v>0.0011</v>
      </c>
      <c r="B19" t="s">
        <v>19</v>
      </c>
    </row>
    <row r="20" spans="1:44" ht="12.75">
      <c r="A20" s="8"/>
      <c r="B20" t="s">
        <v>20</v>
      </c>
      <c r="C20" t="s">
        <v>21</v>
      </c>
      <c r="E20" s="9">
        <f>0.00019</f>
        <v>0.00019</v>
      </c>
      <c r="G20" s="9">
        <f>0.00017</f>
        <v>0.00017</v>
      </c>
      <c r="H20" s="10">
        <f>0.00018</f>
        <v>0.00018</v>
      </c>
      <c r="J20" s="10">
        <f>0.00018</f>
        <v>0.00018</v>
      </c>
      <c r="L20" s="10">
        <f>0.00018</f>
        <v>0.00018</v>
      </c>
      <c r="N20" s="10">
        <f>0.00018</f>
        <v>0.00018</v>
      </c>
      <c r="P20" s="10">
        <f>0.00018</f>
        <v>0.00018</v>
      </c>
      <c r="R20" s="10">
        <f>0.00018</f>
        <v>0.00018</v>
      </c>
      <c r="T20" s="10">
        <f>0.00018</f>
        <v>0.00018</v>
      </c>
      <c r="V20" s="10">
        <f>0.00018</f>
        <v>0.00018</v>
      </c>
      <c r="X20" s="10">
        <f>0.00018</f>
        <v>0.00018</v>
      </c>
      <c r="Z20" s="10">
        <f>0.00018</f>
        <v>0.00018</v>
      </c>
      <c r="AB20" s="10">
        <f>0.00018</f>
        <v>0.00018</v>
      </c>
      <c r="AD20" s="10">
        <f>0.00018</f>
        <v>0.00018</v>
      </c>
      <c r="AF20" s="10">
        <f>0.00018</f>
        <v>0.00018</v>
      </c>
      <c r="AH20" s="10">
        <f>0.00018</f>
        <v>0.00018</v>
      </c>
      <c r="AJ20" s="10">
        <f>0.00018</f>
        <v>0.00018</v>
      </c>
      <c r="AL20" s="10">
        <f>0.00018</f>
        <v>0.00018</v>
      </c>
      <c r="AN20" s="10">
        <f>0.00018</f>
        <v>0.00018</v>
      </c>
      <c r="AP20" s="10">
        <f>0.00018</f>
        <v>0.00018</v>
      </c>
      <c r="AR20" s="10">
        <f>0.00018</f>
        <v>0.00018</v>
      </c>
    </row>
    <row r="21" spans="1:7" ht="12.75">
      <c r="A21" s="8"/>
      <c r="B21" t="s">
        <v>22</v>
      </c>
      <c r="C21" t="s">
        <v>23</v>
      </c>
      <c r="E21" s="9">
        <f>0.0003524*0.221</f>
        <v>7.788040000000001E-05</v>
      </c>
      <c r="G21" s="9">
        <f>0.00037*0.221</f>
        <v>8.177000000000001E-05</v>
      </c>
    </row>
    <row r="22" ht="12.75">
      <c r="A22" s="8"/>
    </row>
    <row r="25" ht="12.75">
      <c r="A25" t="s">
        <v>24</v>
      </c>
    </row>
    <row r="26" spans="8:45" ht="12.75">
      <c r="H26">
        <v>2009</v>
      </c>
      <c r="I26" t="s">
        <v>25</v>
      </c>
      <c r="J26">
        <v>2009</v>
      </c>
      <c r="K26" t="s">
        <v>26</v>
      </c>
      <c r="L26">
        <v>2009</v>
      </c>
      <c r="M26" t="s">
        <v>27</v>
      </c>
      <c r="N26">
        <v>2010</v>
      </c>
      <c r="O26" t="s">
        <v>28</v>
      </c>
      <c r="P26">
        <v>2010</v>
      </c>
      <c r="Q26" t="s">
        <v>25</v>
      </c>
      <c r="R26">
        <v>2010</v>
      </c>
      <c r="S26" t="s">
        <v>26</v>
      </c>
      <c r="T26">
        <v>2010</v>
      </c>
      <c r="U26" t="s">
        <v>27</v>
      </c>
      <c r="V26">
        <v>2011</v>
      </c>
      <c r="W26" t="s">
        <v>28</v>
      </c>
      <c r="X26">
        <v>2011</v>
      </c>
      <c r="Y26" t="s">
        <v>25</v>
      </c>
      <c r="Z26">
        <v>2011</v>
      </c>
      <c r="AA26" t="s">
        <v>26</v>
      </c>
      <c r="AB26">
        <v>2011</v>
      </c>
      <c r="AC26" t="s">
        <v>27</v>
      </c>
      <c r="AD26">
        <v>2012</v>
      </c>
      <c r="AE26" t="s">
        <v>28</v>
      </c>
      <c r="AF26">
        <v>2012</v>
      </c>
      <c r="AG26" t="s">
        <v>25</v>
      </c>
      <c r="AH26">
        <v>2012</v>
      </c>
      <c r="AI26" t="s">
        <v>26</v>
      </c>
      <c r="AJ26">
        <v>2012</v>
      </c>
      <c r="AK26" t="s">
        <v>27</v>
      </c>
      <c r="AL26">
        <v>2013</v>
      </c>
      <c r="AM26" t="s">
        <v>28</v>
      </c>
      <c r="AN26">
        <v>2013</v>
      </c>
      <c r="AO26" t="s">
        <v>25</v>
      </c>
      <c r="AP26">
        <v>2013</v>
      </c>
      <c r="AQ26" t="s">
        <v>26</v>
      </c>
      <c r="AR26">
        <v>2013</v>
      </c>
      <c r="AS26" t="s">
        <v>27</v>
      </c>
    </row>
    <row r="27" spans="1:45" ht="12.75">
      <c r="A27" t="s">
        <v>29</v>
      </c>
      <c r="B27" t="s">
        <v>30</v>
      </c>
      <c r="C27" s="11" t="s">
        <v>31</v>
      </c>
      <c r="D27" s="11" t="s">
        <v>32</v>
      </c>
      <c r="E27" s="11" t="s">
        <v>33</v>
      </c>
      <c r="F27" t="s">
        <v>34</v>
      </c>
      <c r="H27" s="12" t="s">
        <v>35</v>
      </c>
      <c r="I27" s="13" t="s">
        <v>36</v>
      </c>
      <c r="J27" s="12" t="s">
        <v>35</v>
      </c>
      <c r="K27" s="13" t="s">
        <v>36</v>
      </c>
      <c r="L27" s="12" t="s">
        <v>35</v>
      </c>
      <c r="M27" s="13" t="s">
        <v>36</v>
      </c>
      <c r="N27" s="12" t="s">
        <v>35</v>
      </c>
      <c r="O27" s="13" t="s">
        <v>36</v>
      </c>
      <c r="P27" s="12" t="s">
        <v>35</v>
      </c>
      <c r="Q27" s="13" t="s">
        <v>36</v>
      </c>
      <c r="R27" s="12" t="s">
        <v>35</v>
      </c>
      <c r="S27" s="13" t="s">
        <v>36</v>
      </c>
      <c r="T27" s="12" t="s">
        <v>35</v>
      </c>
      <c r="U27" s="13" t="s">
        <v>36</v>
      </c>
      <c r="V27" s="12" t="s">
        <v>35</v>
      </c>
      <c r="W27" s="13" t="s">
        <v>36</v>
      </c>
      <c r="X27" s="12" t="s">
        <v>35</v>
      </c>
      <c r="Y27" s="13" t="s">
        <v>36</v>
      </c>
      <c r="Z27" s="12" t="s">
        <v>35</v>
      </c>
      <c r="AA27" s="13" t="s">
        <v>36</v>
      </c>
      <c r="AB27" s="12" t="s">
        <v>35</v>
      </c>
      <c r="AC27" s="13" t="s">
        <v>36</v>
      </c>
      <c r="AD27" s="12" t="s">
        <v>35</v>
      </c>
      <c r="AE27" s="13" t="s">
        <v>36</v>
      </c>
      <c r="AF27" s="12" t="s">
        <v>35</v>
      </c>
      <c r="AG27" s="13" t="s">
        <v>36</v>
      </c>
      <c r="AH27" s="12" t="s">
        <v>35</v>
      </c>
      <c r="AI27" s="13" t="s">
        <v>36</v>
      </c>
      <c r="AJ27" s="12" t="s">
        <v>35</v>
      </c>
      <c r="AK27" s="13" t="s">
        <v>36</v>
      </c>
      <c r="AL27" s="12" t="s">
        <v>35</v>
      </c>
      <c r="AM27" s="13" t="s">
        <v>36</v>
      </c>
      <c r="AN27" s="12" t="s">
        <v>35</v>
      </c>
      <c r="AO27" s="13" t="s">
        <v>36</v>
      </c>
      <c r="AP27" s="12" t="s">
        <v>35</v>
      </c>
      <c r="AQ27" s="13" t="s">
        <v>36</v>
      </c>
      <c r="AR27" s="12" t="s">
        <v>35</v>
      </c>
      <c r="AS27" s="13" t="s">
        <v>36</v>
      </c>
    </row>
    <row r="28" spans="1:45" ht="12.75">
      <c r="A28" s="14"/>
      <c r="B28" s="15" t="s">
        <v>37</v>
      </c>
      <c r="C28" s="11">
        <v>21</v>
      </c>
      <c r="D28" s="16">
        <v>1</v>
      </c>
      <c r="E28" s="16">
        <f>0.225+0.155</f>
        <v>0.38</v>
      </c>
      <c r="F28" s="17">
        <f>(35000)/4</f>
        <v>8750</v>
      </c>
      <c r="G28" s="9"/>
      <c r="H28" s="18">
        <v>0</v>
      </c>
      <c r="I28" s="19">
        <f>164.5/$J$1</f>
        <v>22.08053691275168</v>
      </c>
      <c r="J28" s="20">
        <f>F28*G28*A15</f>
        <v>0</v>
      </c>
      <c r="K28" s="19">
        <f>164.5/$J$1</f>
        <v>22.08053691275168</v>
      </c>
      <c r="L28" s="20">
        <f>J28+$F$28*L20*$A$15-K28*$A$16-$E$28/4</f>
        <v>0.6917365771812082</v>
      </c>
      <c r="M28" s="19">
        <f>K28*0.995</f>
        <v>21.97013422818792</v>
      </c>
      <c r="N28" s="20">
        <f>L28+$F$28*N20*$A$15-M28*$A$16-$E$28/4</f>
        <v>1.3862332214765105</v>
      </c>
      <c r="O28" s="19">
        <f>M28*0.995</f>
        <v>21.86028355704698</v>
      </c>
      <c r="P28" s="20">
        <f>N28+$F$28*P20*$A$15-O28*$A$16-$E$28/4</f>
        <v>2.083476132550336</v>
      </c>
      <c r="Q28" s="19">
        <f>O28*0.995</f>
        <v>21.750982139261744</v>
      </c>
      <c r="R28" s="20">
        <f>P28+$F$28*R20*$A$15-Q28*$A$16-$E$28/4</f>
        <v>2.7834515790687924</v>
      </c>
      <c r="S28" s="19">
        <f>Q28*0.995</f>
        <v>21.642227228565435</v>
      </c>
      <c r="T28" s="20">
        <f>R28+$F$28*T20*$A$15-S28*$A$16-$E$28/4</f>
        <v>3.4861458983546565</v>
      </c>
      <c r="U28" s="19">
        <f>S28*0.995</f>
        <v>21.534016092422608</v>
      </c>
      <c r="V28" s="20">
        <f>T28+$F$28*V20*$A$15-U28*$A$16-$E$28/4</f>
        <v>4.191545496044092</v>
      </c>
      <c r="W28" s="19">
        <f>U28*0.995</f>
        <v>21.426346011960494</v>
      </c>
      <c r="X28" s="20">
        <f>V28+$F$28*X20*$A$15-W28*$A$16-$E$28/4</f>
        <v>4.899636845745079</v>
      </c>
      <c r="Y28" s="19">
        <f>W28*0.995</f>
        <v>21.319214281900692</v>
      </c>
      <c r="Z28" s="20">
        <f>X28+$F$28*Z20*$A$15-Y28*$A$16-$E$28/4</f>
        <v>5.610406488697563</v>
      </c>
      <c r="AA28" s="19">
        <f>Y28*0.995</f>
        <v>21.21261821049119</v>
      </c>
      <c r="AB28" s="20">
        <f>Z28+$F$28*AB20*$A$15-AA28*$A$16-$E$28/4</f>
        <v>6.323841033435284</v>
      </c>
      <c r="AC28" s="19">
        <f>AA28*0.995</f>
        <v>21.106555119438735</v>
      </c>
      <c r="AD28" s="20">
        <f>AB28+$F$28*AD20*$A$15-AC28*$A$16-$E$28/4</f>
        <v>7.039927155449315</v>
      </c>
      <c r="AE28" s="19">
        <f>AC28*0.995</f>
        <v>21.00102234384154</v>
      </c>
      <c r="AF28" s="20">
        <f>AD28+$F$28*AF20*$A$15-AE28*$A$16-$E$28/4</f>
        <v>7.758651596853277</v>
      </c>
      <c r="AG28" s="19">
        <f>AE28*0.995</f>
        <v>20.896017232122333</v>
      </c>
      <c r="AH28" s="20">
        <f>AF28+$F$28*AH20*$A$15-AG28*$A$16-$E$28/4</f>
        <v>8.480001166050219</v>
      </c>
      <c r="AI28" s="19">
        <f>AG28*0.995</f>
        <v>20.79153714596172</v>
      </c>
      <c r="AJ28" s="20">
        <f>AH28+$F$28*AJ20*$A$15-AI28*$A$16-$E$28/4</f>
        <v>9.203962737401175</v>
      </c>
      <c r="AK28" s="19">
        <f>AI28*0.995</f>
        <v>20.68757946023191</v>
      </c>
      <c r="AL28" s="20">
        <f>AJ28+$F$28*AL20*$A$15-AK28*$A$16-$E$28/4</f>
        <v>9.930523250895376</v>
      </c>
      <c r="AM28" s="19">
        <f>AK28*0.995</f>
        <v>20.58414156293075</v>
      </c>
      <c r="AN28" s="20">
        <f>AL28+$F$28*AN20*$A$15-AM28*$A$16-$E$28/4</f>
        <v>10.659669711822108</v>
      </c>
      <c r="AO28" s="19">
        <f>AM28*0.995</f>
        <v>20.481220855116096</v>
      </c>
      <c r="AP28" s="20">
        <f>AN28+$F$28*AP20*$A$15-AO28*$A$16-$E$28/4</f>
        <v>11.391389190444206</v>
      </c>
      <c r="AQ28" s="19">
        <f>AO28*0.995</f>
        <v>20.378814750840515</v>
      </c>
      <c r="AR28" s="20">
        <f>AP28+$F$28*AR$20*$A$15-AQ28*$A$16-$E$28/4</f>
        <v>12.125668821673193</v>
      </c>
      <c r="AS28" s="19">
        <f>AQ28*0.995</f>
        <v>20.276920677086313</v>
      </c>
    </row>
    <row r="29" spans="1:45" ht="12.75">
      <c r="A29" s="14" t="s">
        <v>38</v>
      </c>
      <c r="B29" t="s">
        <v>39</v>
      </c>
      <c r="C29" s="11">
        <v>48.3</v>
      </c>
      <c r="D29" s="21">
        <v>0.85</v>
      </c>
      <c r="E29" s="16">
        <f>E28*C29/C28</f>
        <v>0.8740000000000001</v>
      </c>
      <c r="F29" s="22">
        <f>76500/4*D29</f>
        <v>16256.25</v>
      </c>
      <c r="G29" s="10">
        <f>0.00018</f>
        <v>0.00018</v>
      </c>
      <c r="H29" s="18">
        <v>0</v>
      </c>
      <c r="I29" s="19">
        <v>56.5</v>
      </c>
      <c r="J29" s="18">
        <f>K29-I29</f>
        <v>27.299999999999997</v>
      </c>
      <c r="K29">
        <v>83.8</v>
      </c>
      <c r="L29" s="20">
        <f>J29+$F$29*L20*$A$15-K29*$A$16-$E$29/4</f>
        <v>27.47370625</v>
      </c>
      <c r="M29" s="19">
        <f>K29*0.995</f>
        <v>83.381</v>
      </c>
      <c r="N29" s="20">
        <f>L29+$F$29*N20*$A$15-M29*$A$16-$E$29/4</f>
        <v>27.6578875</v>
      </c>
      <c r="O29" s="19">
        <f>M29*0.995</f>
        <v>82.964095</v>
      </c>
      <c r="P29" s="20">
        <f>N29+$F$29*P20*$A$15-O29*$A$16-$E$29/4</f>
        <v>27.852491375000003</v>
      </c>
      <c r="Q29" s="19">
        <f>O29*0.995</f>
        <v>82.549274525</v>
      </c>
      <c r="R29" s="20">
        <f>P29+$F$29*R20*$A$15-Q29*$A$16-$E$29/4</f>
        <v>28.057465761875005</v>
      </c>
      <c r="S29" s="19">
        <f>Q29*0.995</f>
        <v>82.136528152375</v>
      </c>
      <c r="T29" s="20">
        <f>R29+$F$29*T20*$A$15-S29*$A$16-$E$29/4</f>
        <v>28.272758808065632</v>
      </c>
      <c r="U29" s="19">
        <f>S29*0.995</f>
        <v>81.72584551161313</v>
      </c>
      <c r="V29" s="20">
        <f>T29+$F$29*V20*$A$15-U29*$A$16-$E$29/4</f>
        <v>28.498318920275306</v>
      </c>
      <c r="W29" s="19">
        <f>U29*0.995</f>
        <v>81.31721628405506</v>
      </c>
      <c r="X29" s="20">
        <f>V29+$F$29*X20*$A$15-W29*$A$16-$E$29/4</f>
        <v>28.734094763173932</v>
      </c>
      <c r="Y29" s="19">
        <f>W29*0.995</f>
        <v>80.91063020263479</v>
      </c>
      <c r="Z29" s="20">
        <f>X29+$F$29*Z20*$A$15-Y29*$A$16-$E$29/4</f>
        <v>28.980035258108064</v>
      </c>
      <c r="AA29" s="19">
        <f>Y29*0.995</f>
        <v>80.50607705162162</v>
      </c>
      <c r="AB29" s="20">
        <f>Z29+$F$29*AB20*$A$15-AA29*$A$16-$E$29/4</f>
        <v>29.236089581817524</v>
      </c>
      <c r="AC29" s="19">
        <f>AA29*0.995</f>
        <v>80.10354666636351</v>
      </c>
      <c r="AD29" s="20">
        <f>AB29+$F$29*AD20*$A$15-AC29*$A$16-$E$29/4</f>
        <v>29.50220716515844</v>
      </c>
      <c r="AE29" s="19">
        <f>AC29*0.995</f>
        <v>79.70302893303169</v>
      </c>
      <c r="AF29" s="20">
        <f>AD29+$F$29*AF20*$A$15-AE29*$A$16-$E$29/4</f>
        <v>29.778337691832647</v>
      </c>
      <c r="AG29" s="19">
        <f>AE29*0.995</f>
        <v>79.30451378836653</v>
      </c>
      <c r="AH29" s="20">
        <f>AF29+$F$29*AH20*$A$15-AG29*$A$16-$E$29/4</f>
        <v>30.064431097123485</v>
      </c>
      <c r="AI29" s="19">
        <f>AG29*0.995</f>
        <v>78.9079912194247</v>
      </c>
      <c r="AJ29" s="20">
        <f>AH29+$F$29*AJ20*$A$15-AI29*$A$16-$E$29/4</f>
        <v>30.360437566637874</v>
      </c>
      <c r="AK29" s="19">
        <f>AI29*0.995</f>
        <v>78.51345126332758</v>
      </c>
      <c r="AL29" s="20">
        <f>AJ29+$F$29*AL20*$A$15-AK29*$A$16-$E$29/4</f>
        <v>30.66630753505469</v>
      </c>
      <c r="AM29" s="19">
        <f>AK29*0.995</f>
        <v>78.12088400701094</v>
      </c>
      <c r="AN29" s="20">
        <f>AL29+$F$29*AN20*$A$15-AM29*$A$16-$E$29/4</f>
        <v>30.981991684879418</v>
      </c>
      <c r="AO29" s="19">
        <f>AM29*0.995</f>
        <v>77.73027958697588</v>
      </c>
      <c r="AP29" s="20">
        <f>AN29+$F$29*AP20*$A$15-AO29*$A$16-$E$29/4</f>
        <v>31.307440945205023</v>
      </c>
      <c r="AQ29" s="19">
        <f>AO29*0.995</f>
        <v>77.341628189041</v>
      </c>
      <c r="AR29" s="20">
        <f>AP29+$F$29*AR20*$A$15-AQ29*$A$16-$E$29/4</f>
        <v>31.642606490479</v>
      </c>
      <c r="AS29" s="19">
        <f>AQ29*0.995</f>
        <v>76.9549200480958</v>
      </c>
    </row>
    <row r="30" spans="1:45" ht="12.75">
      <c r="A30" s="14" t="s">
        <v>38</v>
      </c>
      <c r="B30" t="s">
        <v>40</v>
      </c>
      <c r="C30" s="11">
        <v>24</v>
      </c>
      <c r="D30" s="16">
        <v>1</v>
      </c>
      <c r="E30" s="16">
        <f>0.26+0.15</f>
        <v>0.41000000000000003</v>
      </c>
      <c r="F30" s="17">
        <v>10000</v>
      </c>
      <c r="G30" s="10">
        <f>0.00018</f>
        <v>0.00018</v>
      </c>
      <c r="H30" s="18">
        <v>0</v>
      </c>
      <c r="I30">
        <v>0</v>
      </c>
      <c r="J30" s="20">
        <f>K30-10</f>
        <v>14.697986577181208</v>
      </c>
      <c r="K30" s="19">
        <f>230*0.8/J1</f>
        <v>24.697986577181208</v>
      </c>
      <c r="L30" s="20">
        <f>J30+$F$30*L20*$A$15-K30*$A$16-$E$30/4</f>
        <v>15.50803691275168</v>
      </c>
      <c r="M30" s="19">
        <f>K30*0.995</f>
        <v>24.5744966442953</v>
      </c>
      <c r="N30" s="20">
        <f>L30+$F$30*N20*$A$15-M30*$A$16-$E$30/4</f>
        <v>16.321174496644296</v>
      </c>
      <c r="O30" s="19">
        <f>M30*0.995</f>
        <v>24.451624161073823</v>
      </c>
      <c r="P30" s="20">
        <f>N30+$F$30*P20*$A$15-O30*$A$16-$E$30/4</f>
        <v>17.137383892617454</v>
      </c>
      <c r="Q30" s="19">
        <f>O30*0.995</f>
        <v>24.329366040268454</v>
      </c>
      <c r="R30" s="20">
        <f>P30+$F$30*R20*$A$15-Q30*$A$16-$E$30/4</f>
        <v>17.956649741610743</v>
      </c>
      <c r="S30" s="19">
        <f>Q30*0.995</f>
        <v>24.20771921006711</v>
      </c>
      <c r="T30" s="20">
        <f>R30+$F$30*T20*$A$15-S30*$A$16-$E$30/4</f>
        <v>18.77895676135907</v>
      </c>
      <c r="U30" s="19">
        <f>S30*0.995</f>
        <v>24.086680614016775</v>
      </c>
      <c r="V30" s="20">
        <f>T30+$F$30*V20*$A$15-U30*$A$16-$E$30/4</f>
        <v>19.60428974600865</v>
      </c>
      <c r="W30" s="19">
        <f>U30*0.995</f>
        <v>23.96624721094669</v>
      </c>
      <c r="X30" s="20">
        <f>V30+$F$30*X20*$A$15-W30*$A$16-$E$30/4</f>
        <v>20.432633565734985</v>
      </c>
      <c r="Y30" s="19">
        <f>W30*0.995</f>
        <v>23.846415974891958</v>
      </c>
      <c r="Z30" s="20">
        <f>X30+$F$30*Z20*$A$15-Y30*$A$16-$E$30/4</f>
        <v>21.26397316636269</v>
      </c>
      <c r="AA30" s="19">
        <f>Y30*0.995</f>
        <v>23.727183895017497</v>
      </c>
      <c r="AB30" s="20">
        <f>Z30+$F$30*AB20*$A$15-AA30*$A$16-$E$30/4</f>
        <v>22.098293568987252</v>
      </c>
      <c r="AC30" s="19">
        <f>AA30*0.995</f>
        <v>23.608547975542407</v>
      </c>
      <c r="AD30" s="20">
        <f>AB30+$F$30*AD20*$A$15-AC30*$A$16-$E$30/4</f>
        <v>22.935579869598694</v>
      </c>
      <c r="AE30" s="19">
        <f>AC30*0.995</f>
        <v>23.490505235664696</v>
      </c>
      <c r="AF30" s="20">
        <f>AD30+$F$30*AF20*$A$15-AE30*$A$16-$E$30/4</f>
        <v>23.775817238707077</v>
      </c>
      <c r="AG30" s="19">
        <f>AE30*0.995</f>
        <v>23.373052709486373</v>
      </c>
      <c r="AH30" s="20">
        <f>AF30+$F$30*AH20*$A$15-AG30*$A$16-$E$30/4</f>
        <v>24.61899092096992</v>
      </c>
      <c r="AI30" s="19">
        <f>AG30*0.995</f>
        <v>23.25618744593894</v>
      </c>
      <c r="AJ30" s="20">
        <f>AH30+$F$30*AJ20*$A$15-AI30*$A$16-$E$30/4</f>
        <v>25.46508623482145</v>
      </c>
      <c r="AK30" s="19">
        <f>AI30*0.995</f>
        <v>23.139906508709245</v>
      </c>
      <c r="AL30" s="20">
        <f>AJ30+$F$30*AL20*$A$15-AK30*$A$16-$E$30/4</f>
        <v>26.31408857210372</v>
      </c>
      <c r="AM30" s="19">
        <f>AK30*0.995</f>
        <v>23.0242069761657</v>
      </c>
      <c r="AN30" s="20">
        <f>AL30+$F$30*AN20*$A$15-AM30*$A$16-$E$30/4</f>
        <v>27.16598339769958</v>
      </c>
      <c r="AO30" s="19">
        <f>AM30*0.995</f>
        <v>22.90908594128487</v>
      </c>
      <c r="AP30" s="20">
        <f>AN30+$F$30*AP20*$A$15-AO30*$A$16-$E$30/4</f>
        <v>28.020756249167462</v>
      </c>
      <c r="AQ30" s="19">
        <f>AO30*0.995</f>
        <v>22.794540511578447</v>
      </c>
      <c r="AR30" s="20">
        <f>AP30+$F$30*AR20*$A$15-AQ30*$A$16-$E$30/4</f>
        <v>28.878392736378004</v>
      </c>
      <c r="AS30" s="19">
        <f>AQ30*0.995</f>
        <v>22.680567809020555</v>
      </c>
    </row>
    <row r="31" spans="1:45" ht="12.75">
      <c r="A31" s="14" t="s">
        <v>38</v>
      </c>
      <c r="B31" t="s">
        <v>41</v>
      </c>
      <c r="C31" s="11">
        <v>98.9</v>
      </c>
      <c r="D31" s="16">
        <v>1</v>
      </c>
      <c r="E31" s="16">
        <f>E28*C31/C28</f>
        <v>1.7896190476190477</v>
      </c>
      <c r="F31" s="11">
        <f>135000/4</f>
        <v>33750</v>
      </c>
      <c r="G31" s="10">
        <f>0.00018</f>
        <v>0.00018</v>
      </c>
      <c r="H31" s="18">
        <v>63</v>
      </c>
      <c r="I31">
        <v>0</v>
      </c>
      <c r="J31" s="20">
        <f>H31-47+K31+(F31*G31)/2*18/43-15</f>
        <v>66.70104182924925</v>
      </c>
      <c r="K31" s="19">
        <f>600*0.8/J1</f>
        <v>64.42953020134227</v>
      </c>
      <c r="L31" s="20">
        <f>J31+$F$31*L20*$A$15/2-K31*$A$16-$E$31/4/2</f>
        <v>67.44847619326332</v>
      </c>
      <c r="M31" s="19">
        <f>K31*0.995</f>
        <v>64.10738255033556</v>
      </c>
      <c r="N31" s="20">
        <f>L31+$F$31*N20*$A$15/2-M31*$A$16-$E$31/4/2</f>
        <v>68.20396424855255</v>
      </c>
      <c r="O31" s="19">
        <f>M31*0.995</f>
        <v>63.78684563758388</v>
      </c>
      <c r="P31" s="20">
        <f>N31+$F$31*P20*$A$15/2-O31*$A$16-$E$31/4/2</f>
        <v>68.96746572666058</v>
      </c>
      <c r="Q31" s="19">
        <f>O31*0.995</f>
        <v>63.46791140939596</v>
      </c>
      <c r="R31" s="20">
        <f>P31+$F$31*R20*$A$15/2-Q31*$A$16-$E$31/4/2</f>
        <v>69.7389405604733</v>
      </c>
      <c r="S31" s="19">
        <f>Q31*0.995</f>
        <v>63.15057185234898</v>
      </c>
      <c r="T31" s="20">
        <f>R31+$F$31*T20*$A$15/2-S31*$A$16-$E$31/4/2</f>
        <v>70.5183488832122</v>
      </c>
      <c r="U31" s="19">
        <f>S31*0.995</f>
        <v>62.83481899308724</v>
      </c>
      <c r="V31" s="20">
        <f>T31+$F$31*V20*$A$15/2-U31*$A$16-$E$31/4/2</f>
        <v>71.30565102743265</v>
      </c>
      <c r="W31" s="19">
        <f>U31*0.995</f>
        <v>62.5206448981218</v>
      </c>
      <c r="X31" s="20">
        <f>V31+$F$31*X20*$A$15/2-W31*$A$16-$E$31/4/2</f>
        <v>72.10080752402722</v>
      </c>
      <c r="Y31" s="19">
        <f>W31*0.995</f>
        <v>62.20804167363119</v>
      </c>
      <c r="Z31" s="20">
        <f>X31+$F$31*Z20*$A$15/2-Y31*$A$16-$E$31/4/2</f>
        <v>72.90377910123406</v>
      </c>
      <c r="AA31" s="19">
        <f>Y31*0.995</f>
        <v>61.89700146526304</v>
      </c>
      <c r="AB31" s="20">
        <f>Z31+$F$31*AB20*$A$15/2-AA31*$A$16-$E$31/4/2</f>
        <v>73.7145266836501</v>
      </c>
      <c r="AC31" s="19">
        <f>AA31*0.995</f>
        <v>61.58751645793672</v>
      </c>
      <c r="AD31" s="20">
        <f>AB31+$F$31*AD20*$A$15/2-AC31*$A$16-$E$31/4/2</f>
        <v>74.5330113912493</v>
      </c>
      <c r="AE31" s="19">
        <f>AC31*0.995</f>
        <v>61.27957887564704</v>
      </c>
      <c r="AF31" s="20">
        <f>AD31+$F$31*AF20*$A$15/2-AE31*$A$16-$E$31/4/2</f>
        <v>75.35919453840575</v>
      </c>
      <c r="AG31" s="19">
        <f>AE31*0.995</f>
        <v>60.973180981268804</v>
      </c>
      <c r="AH31" s="20">
        <f>AF31+$F$31*AH20*$A$15/2-AG31*$A$16-$E$31/4/2</f>
        <v>76.19303763292164</v>
      </c>
      <c r="AI31" s="19">
        <f>AG31*0.995</f>
        <v>60.66831507636246</v>
      </c>
      <c r="AJ31" s="20">
        <f>AH31+$F$31*AJ20*$A$15/2-AI31*$A$16-$E$31/4/2</f>
        <v>77.0345023750602</v>
      </c>
      <c r="AK31" s="19">
        <f>AI31*0.995</f>
        <v>60.364973500980646</v>
      </c>
      <c r="AL31" s="20">
        <f>AJ31+$F$31*AL20*$A$15/2-AK31*$A$16-$E$31/4/2</f>
        <v>77.88355065658331</v>
      </c>
      <c r="AM31" s="19">
        <f>AK31*0.995</f>
        <v>60.06314863347574</v>
      </c>
      <c r="AN31" s="20">
        <f>AL31+$F$31*AN20*$A$15/2-AM31*$A$16-$E$31/4/2</f>
        <v>78.74014455979403</v>
      </c>
      <c r="AO31" s="19">
        <f>AM31*0.995</f>
        <v>59.76283289030836</v>
      </c>
      <c r="AP31" s="20">
        <f>AN31+$F$31*AP20*$A$15/2-AO31*$A$16-$E$31/4/2</f>
        <v>79.60424635658394</v>
      </c>
      <c r="AQ31" s="19">
        <f>AO31*0.995</f>
        <v>59.46401872585682</v>
      </c>
      <c r="AR31" s="20">
        <f>AP31+$F$31*AR20*$A$15/2-AQ31*$A$16-$E$31/4/2</f>
        <v>80.47581850748514</v>
      </c>
      <c r="AS31" s="19">
        <f>AQ31*0.995</f>
        <v>59.166698632227536</v>
      </c>
    </row>
    <row r="32" spans="1:45" s="24" customFormat="1" ht="12.75">
      <c r="A32" s="23"/>
      <c r="B32" s="24" t="s">
        <v>42</v>
      </c>
      <c r="C32" s="25">
        <f>SUM(C28:C31)</f>
        <v>192.20000000000002</v>
      </c>
      <c r="D32" s="26"/>
      <c r="E32" s="27">
        <f>SUM(E28:E31)</f>
        <v>3.453619047619048</v>
      </c>
      <c r="F32" s="28">
        <f>SUM(F28:F31)+C29*0.15</f>
        <v>68763.495</v>
      </c>
      <c r="H32" s="25">
        <f>SUM(H28:H31)</f>
        <v>63</v>
      </c>
      <c r="I32" s="29">
        <f>SUM(I28:I31)</f>
        <v>78.58053691275168</v>
      </c>
      <c r="J32" s="25">
        <f>SUM(J28:J31)</f>
        <v>108.69902840643046</v>
      </c>
      <c r="K32" s="29">
        <f>SUM(K28:K31)</f>
        <v>195.00805369127517</v>
      </c>
      <c r="L32" s="25">
        <f>SUM(L28:L31)</f>
        <v>111.12195593319619</v>
      </c>
      <c r="M32" s="29">
        <f>SUM(M28:M31)</f>
        <v>194.03301342281878</v>
      </c>
      <c r="N32" s="25">
        <f>SUM(N28:N31)</f>
        <v>113.56925946667337</v>
      </c>
      <c r="O32" s="29">
        <f>SUM(O28:O31)</f>
        <v>193.0628483557047</v>
      </c>
      <c r="P32" s="25">
        <f>SUM(P28:P31)</f>
        <v>116.04081712682837</v>
      </c>
      <c r="Q32" s="29">
        <f>SUM(Q28:Q31)</f>
        <v>192.09753411392614</v>
      </c>
      <c r="R32" s="25">
        <f>SUM(R28:R31)</f>
        <v>118.53650764302783</v>
      </c>
      <c r="S32" s="29">
        <f>SUM(S28:S31)</f>
        <v>191.13704644335655</v>
      </c>
      <c r="T32" s="25">
        <f>SUM(T28:T31)</f>
        <v>121.05621035099155</v>
      </c>
      <c r="U32" s="29">
        <f>SUM(U28:U31)</f>
        <v>190.18136121113974</v>
      </c>
      <c r="V32" s="25">
        <f>SUM(V28:V31)</f>
        <v>123.59980518976069</v>
      </c>
      <c r="W32" s="29">
        <f>SUM(W28:W31)</f>
        <v>189.23045440508406</v>
      </c>
      <c r="X32" s="25">
        <f>SUM(X28:X31)</f>
        <v>126.16717269868121</v>
      </c>
      <c r="Y32" s="29">
        <f>SUM(Y28:Y31)</f>
        <v>188.28430213305862</v>
      </c>
      <c r="Z32" s="25">
        <f>SUM(Z28:Z31)</f>
        <v>128.75819401440236</v>
      </c>
      <c r="AA32" s="29">
        <f>SUM(AA28:AA31)</f>
        <v>187.34288062239335</v>
      </c>
      <c r="AB32" s="25">
        <f>SUM(AB28:AB31)</f>
        <v>131.37275086789018</v>
      </c>
      <c r="AC32" s="29">
        <f>SUM(AC28:AC31)</f>
        <v>186.40616621928137</v>
      </c>
      <c r="AD32" s="25">
        <f>SUM(AD28:AD31)</f>
        <v>134.01072558145574</v>
      </c>
      <c r="AE32" s="29">
        <f>SUM(AE28:AE31)</f>
        <v>185.47413538818495</v>
      </c>
      <c r="AF32" s="25">
        <f>SUM(AF28:AF31)</f>
        <v>136.67200106579872</v>
      </c>
      <c r="AG32" s="29">
        <f>SUM(AG28:AG31)</f>
        <v>184.54676471124407</v>
      </c>
      <c r="AH32" s="25">
        <f>SUM(AH28:AH31)</f>
        <v>139.35646081706528</v>
      </c>
      <c r="AI32" s="29">
        <f>SUM(AI28:AI31)</f>
        <v>183.6240308876878</v>
      </c>
      <c r="AJ32" s="25">
        <f>SUM(AJ28:AJ31)</f>
        <v>142.0639889139207</v>
      </c>
      <c r="AK32" s="29">
        <f>SUM(AK28:AK31)</f>
        <v>182.7059107332494</v>
      </c>
      <c r="AL32" s="25">
        <f>SUM(AL28:AL31)</f>
        <v>144.7944700146371</v>
      </c>
      <c r="AM32" s="29">
        <f>SUM(AM28:AM31)</f>
        <v>181.79238117958312</v>
      </c>
      <c r="AN32" s="25">
        <f>SUM(AN28:AN31)</f>
        <v>147.54778935419515</v>
      </c>
      <c r="AO32" s="29">
        <f>SUM(AO28:AO31)</f>
        <v>180.88341927368523</v>
      </c>
      <c r="AP32" s="25">
        <f>SUM(AP28:AP31)</f>
        <v>150.32383274140065</v>
      </c>
      <c r="AQ32" s="29">
        <f>SUM(AQ28:AQ31)</f>
        <v>179.9790021773168</v>
      </c>
      <c r="AR32" s="25">
        <f>SUM(AR28:AR31)</f>
        <v>153.12248655601533</v>
      </c>
      <c r="AS32" s="29">
        <f>SUM(AS28:AS31)</f>
        <v>179.07910716643022</v>
      </c>
    </row>
    <row r="33" spans="1:44" ht="11.25" customHeight="1">
      <c r="A33" s="14"/>
      <c r="D33" s="13"/>
      <c r="E33" s="13"/>
      <c r="H33" s="18"/>
      <c r="J33" s="18"/>
      <c r="L33" s="18"/>
      <c r="N33" s="18"/>
      <c r="P33" s="18"/>
      <c r="R33" s="18"/>
      <c r="T33" s="18"/>
      <c r="V33" s="18"/>
      <c r="X33" s="18"/>
      <c r="Z33" s="18"/>
      <c r="AB33" s="18"/>
      <c r="AD33" s="18"/>
      <c r="AF33" s="18"/>
      <c r="AH33" s="18"/>
      <c r="AJ33" s="18"/>
      <c r="AL33" s="18"/>
      <c r="AN33" s="18"/>
      <c r="AP33" s="18"/>
      <c r="AR33" s="18"/>
    </row>
    <row r="34" spans="1:45" ht="12.75">
      <c r="A34" s="14" t="s">
        <v>43</v>
      </c>
      <c r="B34" s="30" t="s">
        <v>44</v>
      </c>
      <c r="C34" s="31">
        <v>13.5</v>
      </c>
      <c r="D34" s="32">
        <v>1</v>
      </c>
      <c r="E34" s="16">
        <f>0.184+0.055</f>
        <v>0.239</v>
      </c>
      <c r="F34" s="33">
        <f>F30*C34/C30</f>
        <v>5625</v>
      </c>
      <c r="G34" s="9"/>
      <c r="H34" s="18">
        <v>0</v>
      </c>
      <c r="I34">
        <v>0</v>
      </c>
      <c r="J34" s="18">
        <v>-1</v>
      </c>
      <c r="K34">
        <v>0</v>
      </c>
      <c r="L34" s="18">
        <f>20/2+M34-3+J34</f>
        <v>14</v>
      </c>
      <c r="M34" s="3">
        <f>20*0.8/2</f>
        <v>8</v>
      </c>
      <c r="N34" s="20">
        <f>L34+O34-M34</f>
        <v>16.4</v>
      </c>
      <c r="O34" s="19">
        <f>M34+3*0.8</f>
        <v>10.4</v>
      </c>
      <c r="P34" s="20">
        <f>N34+$F$34*$G$34*$A$15/2-O34*$A$16-$E$34/4/2</f>
        <v>16.110124999999996</v>
      </c>
      <c r="Q34" s="19">
        <f>O34*0.995</f>
        <v>10.348</v>
      </c>
      <c r="R34" s="20">
        <f>P34+$F$34*$G$34*$A$15/2-Q34*$A$16-$E$34/4/2</f>
        <v>15.821549999999997</v>
      </c>
      <c r="S34" s="19">
        <f>Q34*0.995</f>
        <v>10.29626</v>
      </c>
      <c r="T34" s="20">
        <f>R34+$F$34*$G$34*$A$15/2-S34*$A$16-$E$34/4/2</f>
        <v>15.534268499999996</v>
      </c>
      <c r="U34" s="19">
        <f>S34*0.995</f>
        <v>10.2447787</v>
      </c>
      <c r="V34" s="20">
        <f>T34+$F$34*$G$34*$A$15/2-U34*$A$16-$E$34/4/2</f>
        <v>15.248274032499996</v>
      </c>
      <c r="W34" s="19">
        <f>U34*0.995</f>
        <v>10.1935548065</v>
      </c>
      <c r="X34" s="20">
        <f>V34+$F$34*$G$34*$A$15/2-W34*$A$16-$E$34/4/2</f>
        <v>14.963560162337496</v>
      </c>
      <c r="Y34" s="19">
        <f>W34*0.995</f>
        <v>10.1425870324675</v>
      </c>
      <c r="Z34" s="20">
        <f>X34+$F$34*$G$34*$A$15/2-Y34*$A$16-$E$34/4/2</f>
        <v>14.680120486525807</v>
      </c>
      <c r="AA34" s="19">
        <f>Y34*0.995</f>
        <v>10.091874097305162</v>
      </c>
      <c r="AB34" s="20">
        <f>Z34+$F$34*$G$34*$A$15/2-AA34*$A$16-$E$34/4/2</f>
        <v>14.397948634093177</v>
      </c>
      <c r="AC34" s="19">
        <f>AA34*0.995</f>
        <v>10.041414726818637</v>
      </c>
      <c r="AD34" s="20">
        <f>AB34+$F$34*$G$34*$A$15/2-AC34*$A$16-$E$34/4/2</f>
        <v>14.11703826592271</v>
      </c>
      <c r="AE34" s="19">
        <f>AC34*0.995</f>
        <v>9.991207653184544</v>
      </c>
      <c r="AF34" s="20">
        <f>AD34+$F$34*$G$34*$A$15/2-AE34*$A$16-$E$34/4/2</f>
        <v>13.837383074593097</v>
      </c>
      <c r="AG34" s="19">
        <f>AE34*0.995</f>
        <v>9.941251614918622</v>
      </c>
      <c r="AH34" s="20">
        <f>AF34+$F$34*$G$34*$A$15/2-AG34*$A$16-$E$34/4/2</f>
        <v>13.55897678422013</v>
      </c>
      <c r="AI34" s="19">
        <f>AG34*0.995</f>
        <v>9.891545356844029</v>
      </c>
      <c r="AJ34" s="20">
        <f>AH34+$F$34*$G$34*$A$15/2-AI34*$A$16-$E$34/4/2</f>
        <v>13.281813150299028</v>
      </c>
      <c r="AK34" s="19">
        <f>AI34*0.995</f>
        <v>9.842087630059808</v>
      </c>
      <c r="AL34" s="20">
        <f>AJ34+$F$34*$G$34*$A$15/2-AK34*$A$16-$E$34/4/2</f>
        <v>13.005885959547532</v>
      </c>
      <c r="AM34" s="19">
        <f>AK34*0.995</f>
        <v>9.79287719190951</v>
      </c>
      <c r="AN34" s="20">
        <f>AL34+$F$34*$G$34*$A$15/2-AM34*$A$16-$E$34/4/2</f>
        <v>12.731189029749794</v>
      </c>
      <c r="AO34" s="19">
        <f>AM34*0.995</f>
        <v>9.743912805949963</v>
      </c>
      <c r="AP34" s="20">
        <f>AN34+$F$34*$G$34*$A$15/2-AO34*$A$16-$E$34/4/2</f>
        <v>12.457716209601045</v>
      </c>
      <c r="AQ34" s="19">
        <f>AO34*0.995</f>
        <v>9.695193241920213</v>
      </c>
      <c r="AR34" s="20">
        <f>AP34+$F$34*$G$34*$A$15/2-AQ34*$A$16-$E$34/4/2</f>
        <v>12.18546137855304</v>
      </c>
      <c r="AS34" s="19">
        <f>AQ34*0.995</f>
        <v>9.646717275710612</v>
      </c>
    </row>
    <row r="35" spans="1:45" ht="12.75">
      <c r="A35" s="14" t="s">
        <v>45</v>
      </c>
      <c r="B35" s="30" t="s">
        <v>46</v>
      </c>
      <c r="C35" s="31">
        <v>70</v>
      </c>
      <c r="D35" s="34">
        <v>0.75</v>
      </c>
      <c r="E35" s="13">
        <f>$E$32/$C$32*C35*D35</f>
        <v>0.9433662851196671</v>
      </c>
      <c r="F35" s="35">
        <f>$F$32/$C$32*C35*D35</f>
        <v>18782.95258844953</v>
      </c>
      <c r="G35" s="9"/>
      <c r="H35" s="18">
        <v>0</v>
      </c>
      <c r="I35">
        <v>0</v>
      </c>
      <c r="J35" s="18">
        <v>-2</v>
      </c>
      <c r="K35">
        <v>0</v>
      </c>
      <c r="L35" s="36">
        <f>J35-$A$17*($C35*$D35)+M35-($A$18*$F35/2)+$F35/2*A19</f>
        <v>1.8322039550898523</v>
      </c>
      <c r="M35" s="37">
        <f>$F35/2*0.001*0.8</f>
        <v>7.513181035379813</v>
      </c>
      <c r="N35" s="36">
        <f>L35+O35-($A$18*$F35/2)+$F35/2*C19</f>
        <v>8.875811175758425</v>
      </c>
      <c r="O35" s="37">
        <f>M35+$F35/2*0.001*0.8</f>
        <v>15.026362070759626</v>
      </c>
      <c r="P35" s="36">
        <f>N35+Q35-($A$18*$F35/2)+$F35/2*E19</f>
        <v>23.432599431806814</v>
      </c>
      <c r="Q35" s="37">
        <f>O35+$F35/2*0.001*0.8</f>
        <v>22.53954310613944</v>
      </c>
      <c r="R35" s="36">
        <f>P35+S35-($A$18*$F35/2)+$F35/2*G19</f>
        <v>45.50256872323502</v>
      </c>
      <c r="S35" s="37">
        <f>Q35+$F35/2*0.001*0.8</f>
        <v>30.052724141519253</v>
      </c>
      <c r="T35" s="20">
        <f>R35+$F$34*$G$34*$A$15/2-S35*$A$16-$E$34/4/2</f>
        <v>44.72137561969704</v>
      </c>
      <c r="U35" s="19">
        <f>S35*0.995</f>
        <v>29.902460520811655</v>
      </c>
      <c r="V35" s="20">
        <f>T35+$F$34*$G$34*$A$15/2-U35*$A$16-$E$34/4/2</f>
        <v>43.94393910667675</v>
      </c>
      <c r="W35" s="19">
        <f>U35*0.995</f>
        <v>29.752948218207596</v>
      </c>
      <c r="X35" s="20">
        <f>V35+$F$34*$G$34*$A$15/2-W35*$A$16-$E$34/4/2</f>
        <v>43.17024040122156</v>
      </c>
      <c r="Y35" s="19">
        <f>W35*0.995</f>
        <v>29.604183477116557</v>
      </c>
      <c r="Z35" s="20">
        <f>X35+$F$34*$G$34*$A$15/2-Y35*$A$16-$E$34/4/2</f>
        <v>42.40026081429365</v>
      </c>
      <c r="AA35" s="19">
        <f>Y35*0.995</f>
        <v>29.456162559730974</v>
      </c>
      <c r="AB35" s="20">
        <f>Z35+$F$34*$G$34*$A$15/2-AA35*$A$16-$E$34/4/2</f>
        <v>41.63398175030038</v>
      </c>
      <c r="AC35" s="19">
        <f>AA35*0.995</f>
        <v>29.308881746932318</v>
      </c>
      <c r="AD35" s="20">
        <f>AB35+$F$34*$G$34*$A$15/2-AC35*$A$16-$E$34/4/2</f>
        <v>40.871384706627076</v>
      </c>
      <c r="AE35" s="19">
        <f>AC35*0.995</f>
        <v>29.162337338197656</v>
      </c>
      <c r="AF35" s="20">
        <f>AD35+$F$34*$G$34*$A$15/2-AE35*$A$16-$E$34/4/2</f>
        <v>40.112451273172134</v>
      </c>
      <c r="AG35" s="19">
        <f>AE35*0.995</f>
        <v>29.01652565150667</v>
      </c>
      <c r="AH35" s="20">
        <f>AF35+$F$34*$G$34*$A$15/2-AG35*$A$16-$E$34/4/2</f>
        <v>39.35716313188447</v>
      </c>
      <c r="AI35" s="19">
        <f>AG35*0.995</f>
        <v>28.871443023249135</v>
      </c>
      <c r="AJ35" s="20">
        <f>AH35+$F$34*$G$34*$A$15/2-AI35*$A$16-$E$34/4/2</f>
        <v>38.605502056303244</v>
      </c>
      <c r="AK35" s="19">
        <f>AI35*0.995</f>
        <v>28.72708580813289</v>
      </c>
      <c r="AL35" s="20">
        <f>AJ35+$F$34*$G$34*$A$15/2-AK35*$A$16-$E$34/4/2</f>
        <v>37.85744991109993</v>
      </c>
      <c r="AM35" s="19">
        <f>AK35*0.995</f>
        <v>28.583450379092227</v>
      </c>
      <c r="AN35" s="20">
        <f>AL35+$F$34*$G$34*$A$15/2-AM35*$A$16-$E$34/4/2</f>
        <v>37.11298865162262</v>
      </c>
      <c r="AO35" s="19">
        <f>AM35*0.995</f>
        <v>28.440533127196765</v>
      </c>
      <c r="AP35" s="20">
        <f>AN35+$F$34*$G$34*$A$15/2-AO35*$A$16-$E$34/4/2</f>
        <v>36.37210032344271</v>
      </c>
      <c r="AQ35" s="19">
        <f>AO35*0.995</f>
        <v>28.29833046156078</v>
      </c>
      <c r="AR35" s="20">
        <f>AP35+$F$34*$G$34*$A$15/2-AQ35*$A$16-$E$34/4/2</f>
        <v>35.634767061903695</v>
      </c>
      <c r="AS35" s="19">
        <f>AQ35*0.995</f>
        <v>28.156838809252978</v>
      </c>
    </row>
    <row r="36" spans="1:22" ht="12.75">
      <c r="A36" s="14" t="s">
        <v>45</v>
      </c>
      <c r="B36" s="15" t="s">
        <v>47</v>
      </c>
      <c r="C36" s="38">
        <v>24</v>
      </c>
      <c r="D36" s="11">
        <v>1</v>
      </c>
      <c r="E36" s="13">
        <f>$E$32/$C$32*C36*D36</f>
        <v>0.4312531589118478</v>
      </c>
      <c r="H36" s="18">
        <v>0</v>
      </c>
      <c r="I36">
        <v>0</v>
      </c>
      <c r="J36" s="18"/>
      <c r="K36">
        <v>0</v>
      </c>
      <c r="N36" s="18"/>
      <c r="V36" s="18"/>
    </row>
    <row r="37" spans="1:22" ht="12.75">
      <c r="A37" s="14" t="s">
        <v>45</v>
      </c>
      <c r="B37" s="15" t="s">
        <v>48</v>
      </c>
      <c r="C37" s="38">
        <v>20</v>
      </c>
      <c r="D37" s="11">
        <v>1</v>
      </c>
      <c r="E37" s="13">
        <f>$E$32/$C$32*C37*D37</f>
        <v>0.35937763242653986</v>
      </c>
      <c r="H37" s="18">
        <v>0</v>
      </c>
      <c r="I37">
        <v>0</v>
      </c>
      <c r="J37" s="18"/>
      <c r="K37">
        <v>0</v>
      </c>
      <c r="N37" s="18"/>
      <c r="V37" s="18"/>
    </row>
    <row r="38" spans="1:26" ht="12.75">
      <c r="A38" s="14" t="s">
        <v>49</v>
      </c>
      <c r="B38" s="15" t="s">
        <v>50</v>
      </c>
      <c r="C38" s="38">
        <v>16</v>
      </c>
      <c r="D38" s="11">
        <v>1</v>
      </c>
      <c r="E38" s="13">
        <f>$E$32/$C$32*C38*D38</f>
        <v>0.2875021059412319</v>
      </c>
      <c r="H38" s="18">
        <v>0</v>
      </c>
      <c r="I38">
        <v>0</v>
      </c>
      <c r="J38" s="18"/>
      <c r="K38">
        <v>0</v>
      </c>
      <c r="M38">
        <v>0</v>
      </c>
      <c r="N38" s="18"/>
      <c r="P38" s="18"/>
      <c r="V38" s="18"/>
      <c r="X38" s="18"/>
      <c r="Z38" s="18"/>
    </row>
    <row r="39" spans="1:26" ht="12.75">
      <c r="A39" s="14" t="s">
        <v>51</v>
      </c>
      <c r="B39" s="15" t="s">
        <v>52</v>
      </c>
      <c r="C39" s="38">
        <v>12.5</v>
      </c>
      <c r="D39" s="11">
        <v>1</v>
      </c>
      <c r="E39" s="13">
        <f>$E$32/$C$32*C39*D39</f>
        <v>0.2246110202665874</v>
      </c>
      <c r="H39" s="18">
        <v>0</v>
      </c>
      <c r="I39">
        <v>0</v>
      </c>
      <c r="J39" s="18"/>
      <c r="K39">
        <v>0</v>
      </c>
      <c r="M39">
        <v>0</v>
      </c>
      <c r="N39" s="18"/>
      <c r="P39" s="18"/>
      <c r="V39" s="18"/>
      <c r="X39" s="18"/>
      <c r="Z39" s="18"/>
    </row>
    <row r="40" spans="1:45" ht="12.75">
      <c r="A40" s="14" t="s">
        <v>51</v>
      </c>
      <c r="B40" s="30" t="s">
        <v>53</v>
      </c>
      <c r="C40" s="31">
        <v>52</v>
      </c>
      <c r="D40" s="34">
        <v>0.75</v>
      </c>
      <c r="E40" s="13">
        <f>$E$32/$C$32*C40*D40</f>
        <v>0.7007863832317527</v>
      </c>
      <c r="F40" s="35">
        <f>$F$32/$C$32*C40*D40</f>
        <v>13953.050494276795</v>
      </c>
      <c r="G40" s="9"/>
      <c r="H40" s="18">
        <v>0</v>
      </c>
      <c r="I40">
        <v>0</v>
      </c>
      <c r="J40" s="18">
        <v>-1</v>
      </c>
      <c r="K40">
        <v>0</v>
      </c>
      <c r="L40" s="18">
        <v>-2</v>
      </c>
      <c r="M40">
        <v>0</v>
      </c>
      <c r="N40" s="18">
        <f>L40-$A$17*($C40*$D40)+O40-($A$18*$F40/2)+$F40/2*A$19</f>
        <v>0.8467800809238888</v>
      </c>
      <c r="O40" s="3">
        <f>$F40/2*0.001*0.8</f>
        <v>5.581220197710718</v>
      </c>
      <c r="P40" s="18">
        <f>N40+($A$18*$F40/2)*0.8-($A$18*$F40/2)</f>
        <v>-0.33922921108963866</v>
      </c>
      <c r="Q40" s="3">
        <f>O40+($A$18*$F40/2)*0.8</f>
        <v>10.325257365764829</v>
      </c>
      <c r="R40" s="18">
        <f>P40+($A$18*$F40/2)*0.8-($A$18*$F40/2)</f>
        <v>-1.525238503103166</v>
      </c>
      <c r="S40" s="3">
        <f>Q40+($A$18*$F40/2)*0.8</f>
        <v>15.06929453381894</v>
      </c>
      <c r="T40" s="18">
        <f>R40+($A$18*$F40/2)*0.8-($A$18*$F40/2)</f>
        <v>-2.7112477951166936</v>
      </c>
      <c r="U40" s="3">
        <f>S40+($A$18*$F40/2)*0.8</f>
        <v>19.81333170187305</v>
      </c>
      <c r="V40" s="18">
        <f>T40+($A$18*$F40/2)*0.8+$A$8*F40*G40/2/4*$A$15</f>
        <v>2.032789372937417</v>
      </c>
      <c r="W40" s="3">
        <f>U40+($A$18*$F40/2)*0.8</f>
        <v>24.55736886992716</v>
      </c>
      <c r="X40" s="20">
        <f>V40+$F$30*X$20*$A$15-W40*$A$16-$E40/4</f>
        <v>2.7736585553813002</v>
      </c>
      <c r="Y40" s="19">
        <f>W40*0.995</f>
        <v>24.434582025577523</v>
      </c>
      <c r="Z40" s="20">
        <f>X40+$F$30*Z$20*$A$15-Y40*$A$16-$E40/4</f>
        <v>3.517597408933924</v>
      </c>
      <c r="AA40" s="19">
        <f>Y40*0.995</f>
        <v>24.312409115449636</v>
      </c>
      <c r="AB40" s="20">
        <f>Z40+$F$30*AB$20*$A$15-AA40*$A$16-$E40/4</f>
        <v>4.264590585239745</v>
      </c>
      <c r="AC40" s="19">
        <f>AA40*0.995</f>
        <v>24.190847069872387</v>
      </c>
      <c r="AD40" s="20">
        <f>AB40+$F$30*AD$20*$A$15-AC40*$A$16-$E40/4</f>
        <v>5.014622812684998</v>
      </c>
      <c r="AE40" s="19">
        <f>AC40*0.995</f>
        <v>24.069892834523024</v>
      </c>
      <c r="AF40" s="20">
        <f>AD40+$F$30*AF$20*$A$15-AE40*$A$16-$E40/4</f>
        <v>5.767678896013985</v>
      </c>
      <c r="AG40" s="19">
        <f>AE40*0.995</f>
        <v>23.94954337035041</v>
      </c>
      <c r="AH40" s="20">
        <f>AF40+$F$30*AH$20*$A$15-AG40*$A$16-$E40/4</f>
        <v>6.523743715947287</v>
      </c>
      <c r="AI40" s="19">
        <f>AG40*0.995</f>
        <v>23.829795653498657</v>
      </c>
      <c r="AJ40" s="20">
        <f>AH40+$F$30*AJ$20*$A$15-AI40*$A$16-$E40/4</f>
        <v>7.282802228801882</v>
      </c>
      <c r="AK40" s="19">
        <f>AI40*0.995</f>
        <v>23.710646675231164</v>
      </c>
      <c r="AL40" s="20">
        <f>AJ40+$F$30*AL$20*$A$15-AK40*$A$16-$E40/4</f>
        <v>8.044839466113165</v>
      </c>
      <c r="AM40" s="19">
        <f>AK40*0.995</f>
        <v>23.59209344185501</v>
      </c>
      <c r="AN40" s="20">
        <f>AL40+$F$30*AN$20*$A$15-AM40*$A$16-$E40/4</f>
        <v>8.809840534258852</v>
      </c>
      <c r="AO40" s="19">
        <f>AM40*0.995</f>
        <v>23.474132974645734</v>
      </c>
      <c r="AP40" s="20">
        <f>AN40+$F$30*AP$20*$A$15-AO40*$A$16-$E40/4</f>
        <v>9.57779061408477</v>
      </c>
      <c r="AQ40" s="19">
        <f>AO40*0.995</f>
        <v>23.356762309772506</v>
      </c>
      <c r="AR40" s="20">
        <f>AP40+$F$30*AR$20*$A$15-AQ40*$A$16-$E40/4</f>
        <v>10.34867496053252</v>
      </c>
      <c r="AS40" s="19">
        <f>AQ40*0.995</f>
        <v>23.239978498223643</v>
      </c>
    </row>
    <row r="41" spans="1:45" ht="12.75">
      <c r="A41" s="14" t="s">
        <v>51</v>
      </c>
      <c r="B41" s="30" t="s">
        <v>54</v>
      </c>
      <c r="C41" s="31">
        <v>32</v>
      </c>
      <c r="D41" s="34">
        <v>0.75</v>
      </c>
      <c r="E41" s="13">
        <f>$E$32/$C$32*C41*D41</f>
        <v>0.4312531589118478</v>
      </c>
      <c r="F41" s="35">
        <f>$F$32/$C$32*C41*D41</f>
        <v>8586.492611862643</v>
      </c>
      <c r="G41" s="9"/>
      <c r="H41" s="18">
        <v>0</v>
      </c>
      <c r="I41">
        <v>0</v>
      </c>
      <c r="J41" s="18">
        <v>-1</v>
      </c>
      <c r="K41">
        <v>0</v>
      </c>
      <c r="L41" s="18">
        <v>-2</v>
      </c>
      <c r="M41">
        <v>0</v>
      </c>
      <c r="N41" s="18">
        <f>L41-$A$17*($C41*$D41)+O41-($A$18*$F41/2)+$F41/2*$A$19</f>
        <v>-0.24813533481606864</v>
      </c>
      <c r="O41" s="3">
        <f>$F41/2*0.001*0.8</f>
        <v>3.434597044745057</v>
      </c>
      <c r="P41" s="18">
        <f>N41+($A$18*$F41/2)*0.8-($A$18*$F41/2)</f>
        <v>-0.9779872068243933</v>
      </c>
      <c r="Q41" s="3">
        <f>O41+($A$18*$F41/2)*0.8</f>
        <v>6.354004532778356</v>
      </c>
      <c r="R41" s="18">
        <f>P41+($A$18*$F41/2)*0.8-($A$18*$F41/2)</f>
        <v>-1.707839078832718</v>
      </c>
      <c r="S41" s="3">
        <f>Q41+($A$18*$F41/2)*0.8</f>
        <v>9.273412020811655</v>
      </c>
      <c r="T41" s="18">
        <f>R41+($A$18*$F41/2)*0.8-($A$18*$F41/2)</f>
        <v>-2.4376909508410427</v>
      </c>
      <c r="U41" s="3">
        <f>S41+($A$18*$F41/2)*0.8</f>
        <v>12.192819508844954</v>
      </c>
      <c r="V41" s="18">
        <f>T41+($A$18*$F41/2)*0.8+$A$8*F41*G41/2/4*$A$15</f>
        <v>0.48171653719225604</v>
      </c>
      <c r="W41" s="3">
        <f>U41+($A$18*$F41/2)*0.8</f>
        <v>15.112226996878253</v>
      </c>
      <c r="X41" s="20">
        <f>V41+$F$30*X$20*$A$15-W41*$A$16-$E41/4</f>
        <v>1.5260975725423376</v>
      </c>
      <c r="Y41" s="19">
        <f>W41*0.995</f>
        <v>15.03666586189386</v>
      </c>
      <c r="Z41" s="20">
        <f>X41+$F$30*Z$20*$A$15-Y41*$A$16-$E41/4</f>
        <v>2.572367636267029</v>
      </c>
      <c r="AA41" s="19">
        <f>Y41*0.995</f>
        <v>14.961482532584391</v>
      </c>
      <c r="AB41" s="20">
        <f>Z41+$F$30*$G$30*$A$15-AA41*$A$16-$E41/4</f>
        <v>3.6205172832244576</v>
      </c>
      <c r="AC41" s="19">
        <f>AA41*0.995</f>
        <v>14.886675119921469</v>
      </c>
      <c r="AD41" s="20">
        <f>AB41+$F$30*AD$20*$A$15-AC41*$A$16-$E41/4</f>
        <v>4.670537115498459</v>
      </c>
      <c r="AE41" s="19">
        <f>AC41*0.995</f>
        <v>14.812241744321861</v>
      </c>
      <c r="AF41" s="20">
        <f>AD41+$F$30*AF$20*$A$15-AE41*$A$16-$E41/4</f>
        <v>5.722417782162451</v>
      </c>
      <c r="AG41" s="19">
        <f>AE41*0.995</f>
        <v>14.738180535600252</v>
      </c>
      <c r="AH41" s="20">
        <f>AF41+$F$30*AH$20*$A$15-AG41*$A$16-$E41/4</f>
        <v>6.776149979044484</v>
      </c>
      <c r="AI41" s="19">
        <f>AG41*0.995</f>
        <v>14.664489632922251</v>
      </c>
      <c r="AJ41" s="20">
        <f>AH41+$F$30*AJ$20*$A$15-AI41*$A$16-$E41/4</f>
        <v>7.831724448493466</v>
      </c>
      <c r="AK41" s="19">
        <f>AI41*0.995</f>
        <v>14.591167184757639</v>
      </c>
      <c r="AL41" s="20">
        <f>AJ41+$F$30*AL$20*$A$15-AK41*$A$16-$E41/4</f>
        <v>8.889131979146562</v>
      </c>
      <c r="AM41" s="19">
        <f>AK41*0.995</f>
        <v>14.518211348833852</v>
      </c>
      <c r="AN41" s="20">
        <f>AL41+$F$30*AN$20*$A$15-AM41*$A$16-$E41/4</f>
        <v>9.948363405697753</v>
      </c>
      <c r="AO41" s="19">
        <f>AM41*0.995</f>
        <v>14.445620292089682</v>
      </c>
      <c r="AP41" s="20">
        <f>AN41+$F$30*AP$20*$A$15-AO41*$A$16-$E41/4</f>
        <v>11.009409608667548</v>
      </c>
      <c r="AQ41" s="19">
        <f>AO41*0.995</f>
        <v>14.373392190629234</v>
      </c>
      <c r="AR41" s="20">
        <f>AP41+$F$30*AR$20*$A$15-AQ41*$A$16-$E41/4</f>
        <v>12.072261514173855</v>
      </c>
      <c r="AS41" s="19">
        <f>AQ41*0.995</f>
        <v>14.301525229676088</v>
      </c>
    </row>
    <row r="42" spans="1:45" ht="12.75">
      <c r="A42" s="14" t="s">
        <v>55</v>
      </c>
      <c r="B42" s="30" t="s">
        <v>56</v>
      </c>
      <c r="C42" s="31">
        <v>92.5</v>
      </c>
      <c r="D42" s="31">
        <v>1</v>
      </c>
      <c r="E42" s="13">
        <f>$E$32/$C$32*C42*D42</f>
        <v>1.6621215499727469</v>
      </c>
      <c r="F42" s="35">
        <f>$F$32/$C$32*C42*D42</f>
        <v>33093.773608220596</v>
      </c>
      <c r="G42" s="9"/>
      <c r="H42" s="18">
        <v>0</v>
      </c>
      <c r="I42">
        <v>0</v>
      </c>
      <c r="J42" s="18">
        <v>-1</v>
      </c>
      <c r="K42">
        <v>0</v>
      </c>
      <c r="L42" s="18">
        <v>-1</v>
      </c>
      <c r="M42">
        <v>0</v>
      </c>
      <c r="N42" s="18">
        <v>-3</v>
      </c>
      <c r="O42">
        <v>0</v>
      </c>
      <c r="P42" s="18">
        <f>N42-$A$17*($C42*$D42)+Q42-($A$18*$F42/2)+$F42/2*$A$19</f>
        <v>3.7519783970630662</v>
      </c>
      <c r="Q42" s="3">
        <f>$F42/2*0.001*0.8</f>
        <v>13.23750944328824</v>
      </c>
      <c r="R42" s="18">
        <f>P42+($A$18*$F42/2)*0.8-($A$18*$F42/2)</f>
        <v>0.9390076403643164</v>
      </c>
      <c r="S42" s="3">
        <f>Q42+($A$18*$F42/2)*0.8</f>
        <v>24.489392470083246</v>
      </c>
      <c r="T42" s="18">
        <f>R42+($A$18*$F42/2)*0.8-($A$18*$F42/2)</f>
        <v>-1.8739631163344335</v>
      </c>
      <c r="U42" s="3">
        <f>S42+($A$18*$F42/2)*0.8</f>
        <v>35.74127549687825</v>
      </c>
      <c r="V42" s="18">
        <f>T42+($A$18*$F42/2)*0.8-($A$18*$F42/2)</f>
        <v>-4.686933873033183</v>
      </c>
      <c r="W42" s="3">
        <f>U42+($A$18*$F42/2)*0.8</f>
        <v>46.99315852367326</v>
      </c>
      <c r="X42" s="18">
        <f>V42+($A$18*$F42/2)*0.8+$A$8*H42*I42/2/4*$A$15</f>
        <v>6.564949153761821</v>
      </c>
      <c r="Y42" s="3">
        <f>W42+($A$18*$F42/2)*0.8</f>
        <v>58.245041550468265</v>
      </c>
      <c r="Z42" s="20">
        <f>X42+$F$30*Z$20*$A$15-Y42*$A$16-$E42/4</f>
        <v>6.223292727506927</v>
      </c>
      <c r="AA42" s="19">
        <f>Y42*0.995</f>
        <v>57.953816342715925</v>
      </c>
      <c r="AB42" s="20">
        <f>Z42+$F$30*$G$30*$A$15-AA42*$A$16-$E42/4</f>
        <v>5.888916931445843</v>
      </c>
      <c r="AC42" s="19">
        <f>AA42*0.995</f>
        <v>57.664047261002345</v>
      </c>
      <c r="AD42" s="20">
        <f>AB42+$F$30*AD$20*$A$15-AC42*$A$16-$E42/4</f>
        <v>5.561785362427599</v>
      </c>
      <c r="AE42" s="19">
        <f>AC42*0.995</f>
        <v>57.37572702469733</v>
      </c>
      <c r="AF42" s="20">
        <f>AD42+$F$30*AF$20*$A$15-AE42*$A$16-$E42/4</f>
        <v>5.241861799316979</v>
      </c>
      <c r="AG42" s="19">
        <f>AE42*0.995</f>
        <v>57.08884838957385</v>
      </c>
      <c r="AH42" s="20">
        <f>AF42+$F$30*AH$20*$A$15-AG42*$A$16-$E42/4</f>
        <v>4.929110202084447</v>
      </c>
      <c r="AI42" s="19">
        <f>AG42*0.995</f>
        <v>56.803404147625976</v>
      </c>
      <c r="AJ42" s="20">
        <f>AH42+$F$30*AJ$20*$A$15-AI42*$A$16-$E42/4</f>
        <v>4.623494710900611</v>
      </c>
      <c r="AK42" s="19">
        <f>AI42*0.995</f>
        <v>56.51938712688784</v>
      </c>
      <c r="AL42" s="20">
        <f>AJ42+$F$30*AL$20*$A$15-AK42*$A$16-$E42/4</f>
        <v>4.324979645235229</v>
      </c>
      <c r="AM42" s="19">
        <f>AK42*0.995</f>
        <v>56.236790191253405</v>
      </c>
      <c r="AN42" s="20">
        <f>AL42+$F$30*AN$20*$A$15-AM42*$A$16-$E42/4</f>
        <v>4.0335295029607074</v>
      </c>
      <c r="AO42" s="19">
        <f>AM42*0.995</f>
        <v>55.955606240297136</v>
      </c>
      <c r="AP42" s="20">
        <f>AN42+$F$30*AP$20*$A$15-AO42*$A$16-$E42/4</f>
        <v>3.749108959460093</v>
      </c>
      <c r="AQ42" s="19">
        <f>AO42*0.995</f>
        <v>55.67582820909565</v>
      </c>
      <c r="AR42" s="20">
        <f>AP42+$F$30*AR$20*$A$15-AQ42*$A$16-$E42/4</f>
        <v>3.4716828667395148</v>
      </c>
      <c r="AS42" s="19">
        <f>AQ42*0.995</f>
        <v>55.39744906805017</v>
      </c>
    </row>
    <row r="43" spans="1:45" ht="12.75">
      <c r="A43" s="14" t="s">
        <v>55</v>
      </c>
      <c r="B43" s="30" t="s">
        <v>57</v>
      </c>
      <c r="C43" s="31">
        <v>14</v>
      </c>
      <c r="D43" s="31">
        <v>1</v>
      </c>
      <c r="E43" s="13">
        <f>$E$32/$C$32*C43*D43</f>
        <v>0.2515643426985779</v>
      </c>
      <c r="F43" s="35">
        <f>$F$32/$C$32*C43*D43</f>
        <v>5008.787356919875</v>
      </c>
      <c r="G43" s="9"/>
      <c r="H43" s="18">
        <v>0</v>
      </c>
      <c r="I43">
        <v>0</v>
      </c>
      <c r="J43" s="18">
        <v>0</v>
      </c>
      <c r="K43">
        <v>0</v>
      </c>
      <c r="L43" s="18">
        <v>-1</v>
      </c>
      <c r="M43">
        <v>0</v>
      </c>
      <c r="N43" s="18">
        <v>-2</v>
      </c>
      <c r="O43">
        <v>0</v>
      </c>
      <c r="P43" s="18">
        <f>N43-$A$17*($C43*$D43)+Q43-($A$18*$F43/2)+$F43/2*$A$19</f>
        <v>-0.978078945309373</v>
      </c>
      <c r="Q43" s="3">
        <f>$F43/2*0.001*0.8</f>
        <v>2.00351494276795</v>
      </c>
      <c r="R43" s="18">
        <f>P43+($A$18*$F43/2)*0.8-($A$18*$F43/2)</f>
        <v>-1.4038258706475624</v>
      </c>
      <c r="S43" s="3">
        <f>Q43+($A$18*$F43/2)*0.8</f>
        <v>3.7065026441207074</v>
      </c>
      <c r="T43" s="18">
        <f>R43+($A$18*$F43/2)*0.8-($A$18*$F43/2)</f>
        <v>-1.8295727959857517</v>
      </c>
      <c r="U43" s="3">
        <f>S43+($A$18*$F43/2)*0.8</f>
        <v>5.409490345473465</v>
      </c>
      <c r="V43" s="18">
        <f>T43+($A$18*$F43/2)*0.8-($A$18*$F43/2)</f>
        <v>-2.255319721323941</v>
      </c>
      <c r="W43" s="3">
        <f>U43+($A$18*$F43/2)*0.8</f>
        <v>7.112478046826222</v>
      </c>
      <c r="X43" s="18">
        <f>V43+($A$18*$F43/2)*0.8+$A$8*H43*I43/2/4*$A$15</f>
        <v>-0.5523320199711836</v>
      </c>
      <c r="Y43" s="3">
        <f>W43+($A$18*$F43/2)*0.8</f>
        <v>8.81546574817898</v>
      </c>
      <c r="Z43" s="20">
        <f>X43+$F$30*Z$20*$A$15-Y43*$A$16-$E43/4</f>
        <v>0.6943902506496974</v>
      </c>
      <c r="AA43" s="19">
        <f>Y43*0.995</f>
        <v>8.771388419438084</v>
      </c>
      <c r="AB43" s="20">
        <f>Z43+$F$30*$G$30*$A$15-AA43*$A$16-$E43/4</f>
        <v>1.9422144544891007</v>
      </c>
      <c r="AC43" s="19">
        <f>AA43*0.995</f>
        <v>8.727531477340893</v>
      </c>
      <c r="AD43" s="20">
        <f>AB43+$F$30*AD$20*$A$15-AC43*$A$16-$E43/4</f>
        <v>3.191135081880934</v>
      </c>
      <c r="AE43" s="19">
        <f>AC43*0.995</f>
        <v>8.68389381995419</v>
      </c>
      <c r="AF43" s="20">
        <f>AD43+$F$30*AF$20*$A$15-AE43*$A$16-$E43/4</f>
        <v>4.441146650707434</v>
      </c>
      <c r="AG43" s="19">
        <f>AE43*0.995</f>
        <v>8.640474350854419</v>
      </c>
      <c r="AH43" s="20">
        <f>AF43+$F$30*AH$20*$A$15-AG43*$A$16-$E43/4</f>
        <v>5.692243706261429</v>
      </c>
      <c r="AI43" s="19">
        <f>AG43*0.995</f>
        <v>8.597271979100146</v>
      </c>
      <c r="AJ43" s="20">
        <f>AH43+$F$30*AJ$20*$A$15-AI43*$A$16-$E43/4</f>
        <v>6.944420821109281</v>
      </c>
      <c r="AK43" s="19">
        <f>AI43*0.995</f>
        <v>8.554285619204645</v>
      </c>
      <c r="AL43" s="20">
        <f>AJ43+$F$30*AL$20*$A$15-AK43*$A$16-$E43/4</f>
        <v>8.19767259495452</v>
      </c>
      <c r="AM43" s="19">
        <f>AK43*0.995</f>
        <v>8.511514191108622</v>
      </c>
      <c r="AN43" s="20">
        <f>AL43+$F$30*AN$20*$A$15-AM43*$A$16-$E43/4</f>
        <v>9.451993654502159</v>
      </c>
      <c r="AO43" s="19">
        <f>AM43*0.995</f>
        <v>8.46895662015308</v>
      </c>
      <c r="AP43" s="20">
        <f>AN43+$F$30*AP$20*$A$15-AO43*$A$16-$E43/4</f>
        <v>10.707378653323687</v>
      </c>
      <c r="AQ43" s="19">
        <f>AO43*0.995</f>
        <v>8.426611837052315</v>
      </c>
      <c r="AR43" s="20">
        <f>AP43+$F$30*AR$20*$A$15-AQ43*$A$16-$E43/4</f>
        <v>11.963822271722734</v>
      </c>
      <c r="AS43" s="19">
        <f>AQ43*0.995</f>
        <v>8.384478777867054</v>
      </c>
    </row>
    <row r="44" spans="1:45" ht="12.75">
      <c r="A44" s="14" t="s">
        <v>55</v>
      </c>
      <c r="B44" s="39" t="s">
        <v>58</v>
      </c>
      <c r="C44" s="40">
        <v>23</v>
      </c>
      <c r="D44" s="40">
        <v>1</v>
      </c>
      <c r="E44" s="13">
        <f>$E$32/$C$32*C44*D44</f>
        <v>0.4132842772905208</v>
      </c>
      <c r="F44" s="35">
        <f>$F$32/$C$32*C44*D44</f>
        <v>8228.722086368365</v>
      </c>
      <c r="G44" s="9"/>
      <c r="H44" s="18">
        <v>0</v>
      </c>
      <c r="I44">
        <v>0</v>
      </c>
      <c r="J44" s="18">
        <v>0</v>
      </c>
      <c r="K44">
        <v>0</v>
      </c>
      <c r="L44" s="18">
        <v>-1</v>
      </c>
      <c r="M44">
        <v>0</v>
      </c>
      <c r="N44" s="18">
        <v>-2</v>
      </c>
      <c r="O44">
        <v>0</v>
      </c>
      <c r="P44" s="18">
        <f>N44-$A$17*($C44*$D44)+Q44-($A$18*$F44/2)+$F44/2*$A$19</f>
        <v>-0.32112969586539997</v>
      </c>
      <c r="Q44" s="3">
        <f>$F44/2*0.001*0.8</f>
        <v>3.2914888345473465</v>
      </c>
      <c r="R44" s="18">
        <f>P44+($A$18*$F44/2)*0.8-($A$18*$F44/2)</f>
        <v>-1.0205710732067108</v>
      </c>
      <c r="S44" s="3">
        <f>Q44+($A$18*$F44/2)*0.8</f>
        <v>6.089254343912591</v>
      </c>
      <c r="T44" s="18">
        <f>R44+($A$18*$F44/2)*0.8-($A$18*$F44/2)</f>
        <v>-1.7200124505480217</v>
      </c>
      <c r="U44" s="3">
        <f>S44+($A$18*$F44/2)*0.8</f>
        <v>8.887019853277836</v>
      </c>
      <c r="V44" s="18">
        <f>T44+($A$18*$F44/2)*0.8-($A$18*$F44/2)</f>
        <v>-2.4194538278893325</v>
      </c>
      <c r="W44" s="3">
        <f>U44+($A$18*$F44/2)*0.8</f>
        <v>11.684785362643082</v>
      </c>
      <c r="X44" s="18">
        <f>V44+($A$18*$F44/2)*0.8+$A$8*H44*I44/2/4*$A$15</f>
        <v>0.3783116814759122</v>
      </c>
      <c r="Y44" s="3">
        <f>W44+($A$18*$F44/2)*0.8</f>
        <v>14.482550872008327</v>
      </c>
      <c r="Z44" s="20">
        <f>X44+$F$30*Z$20*$A$15-Y44*$A$16-$E44/4</f>
        <v>1.4429268403530737</v>
      </c>
      <c r="AA44" s="19">
        <f>Y44*0.995</f>
        <v>14.410138117648286</v>
      </c>
      <c r="AB44" s="20">
        <f>Z44+$F$30*$G$30*$A$15-AA44*$A$16-$E44/4</f>
        <v>2.509352318089236</v>
      </c>
      <c r="AC44" s="19">
        <f>AA44*0.995</f>
        <v>14.338087427060044</v>
      </c>
      <c r="AD44" s="20">
        <f>AB44+$F$30*AD$20*$A$15-AC44*$A$16-$E44/4</f>
        <v>3.5775790630901048</v>
      </c>
      <c r="AE44" s="19">
        <f>AC44*0.995</f>
        <v>14.266396989924743</v>
      </c>
      <c r="AF44" s="20">
        <f>AD44+$F$30*AF$20*$A$15-AE44*$A$16-$E44/4</f>
        <v>4.647598069019356</v>
      </c>
      <c r="AG44" s="19">
        <f>AE44*0.995</f>
        <v>14.19506500497512</v>
      </c>
      <c r="AH44" s="20">
        <f>AF44+$F$30*AH$20*$A$15-AG44*$A$16-$E44/4</f>
        <v>5.719400374572348</v>
      </c>
      <c r="AI44" s="19">
        <f>AG44*0.995</f>
        <v>14.124089679950245</v>
      </c>
      <c r="AJ44" s="20">
        <f>AH44+$F$30*AJ$20*$A$15-AI44*$A$16-$E44/4</f>
        <v>6.792977063250961</v>
      </c>
      <c r="AK44" s="19">
        <f>AI44*0.995</f>
        <v>14.053469231550494</v>
      </c>
      <c r="AL44" s="20">
        <f>AJ44+$F$30*AL$20*$A$15-AK44*$A$16-$E44/4</f>
        <v>7.868319263139568</v>
      </c>
      <c r="AM44" s="19">
        <f>AK44*0.995</f>
        <v>13.983201885392742</v>
      </c>
      <c r="AN44" s="20">
        <f>AL44+$F$30*AN$20*$A$15-AM44*$A$16-$E44/4</f>
        <v>8.945418146682119</v>
      </c>
      <c r="AO44" s="19">
        <f>AM44*0.995</f>
        <v>13.913285875965778</v>
      </c>
      <c r="AP44" s="20">
        <f>AN44+$F$30*AP$20*$A$15-AO44*$A$16-$E44/4</f>
        <v>10.024264930460344</v>
      </c>
      <c r="AQ44" s="19">
        <f>AO44*0.995</f>
        <v>13.843719446585949</v>
      </c>
      <c r="AR44" s="20">
        <f>AP44+$F$30*AR$20*$A$15-AQ44*$A$16-$E44/4</f>
        <v>11.104850874973064</v>
      </c>
      <c r="AS44" s="19">
        <f>AQ44*0.995</f>
        <v>13.77450084935302</v>
      </c>
    </row>
    <row r="45" spans="1:45" ht="12.75">
      <c r="A45" s="14" t="s">
        <v>59</v>
      </c>
      <c r="B45" s="30" t="s">
        <v>60</v>
      </c>
      <c r="C45" s="31">
        <v>140</v>
      </c>
      <c r="D45" s="31">
        <v>1</v>
      </c>
      <c r="E45" s="13">
        <f>$E$32/$C$32*C45*D45</f>
        <v>2.515643426985779</v>
      </c>
      <c r="F45" s="35">
        <f>$F$32/$C$32*C45*D45</f>
        <v>50087.873569198746</v>
      </c>
      <c r="G45" s="9"/>
      <c r="H45" s="18">
        <v>0</v>
      </c>
      <c r="I45">
        <v>0</v>
      </c>
      <c r="J45" s="18">
        <v>-1</v>
      </c>
      <c r="K45">
        <v>0</v>
      </c>
      <c r="L45" s="18">
        <v>-1</v>
      </c>
      <c r="M45">
        <v>0</v>
      </c>
      <c r="N45" s="18">
        <v>-3</v>
      </c>
      <c r="O45">
        <v>0</v>
      </c>
      <c r="P45" s="18">
        <f>N45-1</f>
        <v>-4</v>
      </c>
      <c r="Q45">
        <v>0</v>
      </c>
      <c r="R45" s="18">
        <f>P45-$A$17*($C45*$D45)+S45-($A$18*$F45/2)+$F45/2*$A$19</f>
        <v>6.219210546906265</v>
      </c>
      <c r="S45" s="3">
        <f>$F45/2*0.001*0.8</f>
        <v>20.0351494276795</v>
      </c>
      <c r="T45" s="18">
        <f>R45+($A$18*$F45/2)*0.8-($A$18*$F45/2)</f>
        <v>1.9617412935243728</v>
      </c>
      <c r="U45" s="3">
        <f>S45+($A$18*$F45/2)*0.8</f>
        <v>37.06502644120708</v>
      </c>
      <c r="V45" s="18">
        <f>T45+($A$18*$F45/2)*0.8-($A$18*$F45/2)</f>
        <v>-2.295727959857519</v>
      </c>
      <c r="W45" s="3">
        <f>U45+($A$18*$F45/2)*0.8</f>
        <v>54.09490345473466</v>
      </c>
      <c r="X45" s="18">
        <f>V45+($A$18*$F45/2)*0.8-($A$18*$F45/2)</f>
        <v>-6.553197213239411</v>
      </c>
      <c r="Y45" s="3">
        <f>W45+($A$18*$F45/2)*0.8</f>
        <v>71.12478046826224</v>
      </c>
      <c r="Z45" s="18">
        <f>X45+($A$18*$F45/2)*0.8+$A$8*J45*K45/2/4*$A$15</f>
        <v>10.476679800288167</v>
      </c>
      <c r="AA45" s="3">
        <f>Y45+($A$18*$F45/2)*0.8</f>
        <v>88.15465748178983</v>
      </c>
      <c r="AB45" s="20">
        <f>Z45+$F$30*$G$30*$A$15-AA45*$A$16-$E45/4</f>
        <v>9.173902506496976</v>
      </c>
      <c r="AC45" s="19">
        <f>AA45*0.995</f>
        <v>87.71388419438088</v>
      </c>
      <c r="AD45" s="20">
        <f>AB45+$F$30*AD$20*$A$15-AC45*$A$16-$E45/4</f>
        <v>7.882144544891008</v>
      </c>
      <c r="AE45" s="19">
        <f>AC45*0.995</f>
        <v>87.27531477340898</v>
      </c>
      <c r="AF45" s="20">
        <f>AD45+$F$30*AF$20*$A$15-AE45*$A$16-$E45/4</f>
        <v>6.6013508188093395</v>
      </c>
      <c r="AG45" s="19">
        <f>AE45*0.995</f>
        <v>86.83893819954193</v>
      </c>
      <c r="AH45" s="20">
        <f>AF45+$F$30*AH$20*$A$15-AG45*$A$16-$E45/4</f>
        <v>5.331466507074347</v>
      </c>
      <c r="AI45" s="19">
        <f>AG45*0.995</f>
        <v>86.40474350854421</v>
      </c>
      <c r="AJ45" s="20">
        <f>AH45+$F$30*AJ$20*$A$15-AI45*$A$16-$E45/4</f>
        <v>4.072437062614297</v>
      </c>
      <c r="AK45" s="19">
        <f>AI45*0.995</f>
        <v>85.9727197910015</v>
      </c>
      <c r="AL45" s="20">
        <f>AJ45+$F$30*AL$20*$A$15-AK45*$A$16-$E45/4</f>
        <v>2.824208211092815</v>
      </c>
      <c r="AM45" s="19">
        <f>AK45*0.995</f>
        <v>85.54285619204649</v>
      </c>
      <c r="AN45" s="20">
        <f>AL45+$F$30*AN$20*$A$15-AM45*$A$16-$E45/4</f>
        <v>1.5867259495452082</v>
      </c>
      <c r="AO45" s="19">
        <f>AM45*0.995</f>
        <v>85.11514191108625</v>
      </c>
      <c r="AP45" s="20">
        <f>AN45+$F$30*AP$20*$A$15-AO45*$A$16-$E45/4</f>
        <v>0.3599365450216072</v>
      </c>
      <c r="AQ45" s="19">
        <f>AO45*0.995</f>
        <v>84.68956620153082</v>
      </c>
      <c r="AR45" s="20">
        <f>AP45+$F$30*AR$20*$A$15-AQ45*$A$16-$E45/4</f>
        <v>-0.8562134667631083</v>
      </c>
      <c r="AS45" s="19">
        <f>AQ45*0.995</f>
        <v>84.26611837052317</v>
      </c>
    </row>
    <row r="46" spans="1:45" ht="12.75">
      <c r="A46" s="14" t="s">
        <v>59</v>
      </c>
      <c r="B46" s="30" t="s">
        <v>61</v>
      </c>
      <c r="C46" s="31">
        <v>14</v>
      </c>
      <c r="D46" s="31">
        <v>1</v>
      </c>
      <c r="E46" s="13">
        <f>$E$32/$C$32*C46*D46</f>
        <v>0.2515643426985779</v>
      </c>
      <c r="F46" s="35">
        <f>$F$32/$C$32*C46*D46</f>
        <v>5008.787356919875</v>
      </c>
      <c r="G46" s="9"/>
      <c r="H46" s="18">
        <v>0</v>
      </c>
      <c r="I46">
        <v>0</v>
      </c>
      <c r="J46" s="18">
        <v>0</v>
      </c>
      <c r="K46">
        <v>0</v>
      </c>
      <c r="L46" s="18">
        <v>0</v>
      </c>
      <c r="M46">
        <v>0</v>
      </c>
      <c r="N46" s="18">
        <v>-1</v>
      </c>
      <c r="O46">
        <v>0</v>
      </c>
      <c r="P46" s="18">
        <f>N46-1</f>
        <v>-2</v>
      </c>
      <c r="Q46">
        <v>0</v>
      </c>
      <c r="R46" s="18">
        <f>P46-$A$17*($C46*$D46)+S46-($A$18*$F46/2)+$F46/2*$A$19</f>
        <v>-0.978078945309373</v>
      </c>
      <c r="S46" s="3">
        <f>$F46/2*0.001*0.8</f>
        <v>2.00351494276795</v>
      </c>
      <c r="T46" s="18">
        <f>R46+($A$18*$F46/2)*0.8-($A$18*$F46/2)</f>
        <v>-1.4038258706475624</v>
      </c>
      <c r="U46" s="3">
        <f>S46+($A$18*$F46/2)*0.8</f>
        <v>3.7065026441207074</v>
      </c>
      <c r="V46" s="18">
        <f>T46+($A$18*$F46/2)*0.8-($A$18*$F46/2)</f>
        <v>-1.8295727959857517</v>
      </c>
      <c r="W46" s="3">
        <f>U46+($A$18*$F46/2)*0.8</f>
        <v>5.409490345473465</v>
      </c>
      <c r="X46" s="18">
        <f>V46+($A$18*$F46/2)*0.8-($A$18*$F46/2)</f>
        <v>-2.255319721323941</v>
      </c>
      <c r="Y46" s="3">
        <f>W46+($A$18*$F46/2)*0.8</f>
        <v>7.112478046826222</v>
      </c>
      <c r="Z46" s="18">
        <f>X46+($A$18*$F46/2)*0.8+$A$8*J46*K46/2/4</f>
        <v>-0.5523320199711836</v>
      </c>
      <c r="AA46" s="3">
        <f>Y46+($A$18*$F46/2)*0.8</f>
        <v>8.81546574817898</v>
      </c>
      <c r="AB46" s="20">
        <f>Z46+$F$30*$G$30*$A$15-AA46*$A$16-$E46/4</f>
        <v>0.6943902506496974</v>
      </c>
      <c r="AC46" s="19">
        <f>AA46*0.995</f>
        <v>8.771388419438084</v>
      </c>
      <c r="AD46" s="20">
        <f>AB46+$F$30*AD$20*$A$15-AC46*$A$16-$E46/4</f>
        <v>1.9422144544891007</v>
      </c>
      <c r="AE46" s="19">
        <f>AC46*0.995</f>
        <v>8.727531477340893</v>
      </c>
      <c r="AF46" s="20">
        <f>AD46+$F$30*AF$20*$A$15-AE46*$A$16-$E46/4</f>
        <v>3.191135081880934</v>
      </c>
      <c r="AG46" s="19">
        <f>AE46*0.995</f>
        <v>8.68389381995419</v>
      </c>
      <c r="AH46" s="20">
        <f>AF46+$F$30*AH$20*$A$15-AG46*$A$16-$E46/4</f>
        <v>4.441146650707434</v>
      </c>
      <c r="AI46" s="19">
        <f>AG46*0.995</f>
        <v>8.640474350854419</v>
      </c>
      <c r="AJ46" s="20">
        <f>AH46+$F$30*AJ$20*$A$15-AI46*$A$16-$E46/4</f>
        <v>5.692243706261429</v>
      </c>
      <c r="AK46" s="19">
        <f>AI46*0.995</f>
        <v>8.597271979100146</v>
      </c>
      <c r="AL46" s="20">
        <f>AJ46+$F$30*AL$20*$A$15-AK46*$A$16-$E46/4</f>
        <v>6.944420821109281</v>
      </c>
      <c r="AM46" s="19">
        <f>AK46*0.995</f>
        <v>8.554285619204645</v>
      </c>
      <c r="AN46" s="20">
        <f>AL46+$F$30*AN$20*$A$15-AM46*$A$16-$E46/4</f>
        <v>8.19767259495452</v>
      </c>
      <c r="AO46" s="19">
        <f>AM46*0.995</f>
        <v>8.511514191108622</v>
      </c>
      <c r="AP46" s="20">
        <f>AN46+$F$30*AP$20*$A$15-AO46*$A$16-$E46/4</f>
        <v>9.451993654502159</v>
      </c>
      <c r="AQ46" s="19">
        <f>AO46*0.995</f>
        <v>8.46895662015308</v>
      </c>
      <c r="AR46" s="20">
        <f>AP46+$F$30*AR$20*$A$15-AQ46*$A$16-$E46/4</f>
        <v>10.707378653323687</v>
      </c>
      <c r="AS46" s="19">
        <f>AQ46*0.995</f>
        <v>8.426611837052315</v>
      </c>
    </row>
    <row r="47" spans="1:26" ht="12.75">
      <c r="A47" s="14" t="s">
        <v>59</v>
      </c>
      <c r="B47" s="15" t="s">
        <v>62</v>
      </c>
      <c r="C47" s="38">
        <v>32.2</v>
      </c>
      <c r="D47" s="41">
        <v>0.5</v>
      </c>
      <c r="E47" s="13">
        <f>$E$32/$C$32*C47*D47</f>
        <v>0.2892989941033646</v>
      </c>
      <c r="H47" s="18">
        <v>0</v>
      </c>
      <c r="I47">
        <v>0</v>
      </c>
      <c r="J47" s="18"/>
      <c r="K47">
        <v>0</v>
      </c>
      <c r="M47">
        <v>0</v>
      </c>
      <c r="N47" s="18"/>
      <c r="O47">
        <v>0</v>
      </c>
      <c r="P47" s="18"/>
      <c r="R47" s="18"/>
      <c r="V47" s="18"/>
      <c r="X47" s="18"/>
      <c r="Z47" s="18"/>
    </row>
    <row r="48" spans="1:26" ht="12.75">
      <c r="A48" s="14" t="s">
        <v>59</v>
      </c>
      <c r="B48" s="15" t="s">
        <v>63</v>
      </c>
      <c r="C48" s="11">
        <v>75</v>
      </c>
      <c r="D48" s="11">
        <v>1</v>
      </c>
      <c r="E48" s="13">
        <f>$E$32/$C$32*C48*D48</f>
        <v>1.3476661215995245</v>
      </c>
      <c r="H48" s="18">
        <v>0</v>
      </c>
      <c r="I48">
        <v>0</v>
      </c>
      <c r="J48" s="18"/>
      <c r="K48">
        <v>0</v>
      </c>
      <c r="M48">
        <v>0</v>
      </c>
      <c r="N48" s="18"/>
      <c r="O48">
        <v>0</v>
      </c>
      <c r="P48" s="18"/>
      <c r="R48" s="18"/>
      <c r="V48" s="18"/>
      <c r="X48" s="18"/>
      <c r="Z48" s="18"/>
    </row>
    <row r="49" spans="1:45" ht="12.75">
      <c r="A49" s="14" t="s">
        <v>64</v>
      </c>
      <c r="B49" s="30" t="s">
        <v>65</v>
      </c>
      <c r="C49" s="31">
        <v>60</v>
      </c>
      <c r="D49" s="31">
        <v>1</v>
      </c>
      <c r="E49" s="13">
        <f>$E$32/$C$32*C49*D49</f>
        <v>1.0781328972796196</v>
      </c>
      <c r="F49" s="35">
        <f>$F$32/$C$32*C49*D49</f>
        <v>21466.231529656605</v>
      </c>
      <c r="G49" s="9"/>
      <c r="H49" s="18">
        <v>0</v>
      </c>
      <c r="I49">
        <v>0</v>
      </c>
      <c r="J49" s="18">
        <v>0</v>
      </c>
      <c r="K49">
        <v>0</v>
      </c>
      <c r="L49" s="18">
        <v>0</v>
      </c>
      <c r="M49">
        <v>0</v>
      </c>
      <c r="N49" s="18">
        <v>-1</v>
      </c>
      <c r="O49">
        <v>0</v>
      </c>
      <c r="P49" s="18">
        <f>N49-1</f>
        <v>-2</v>
      </c>
      <c r="Q49">
        <v>0</v>
      </c>
      <c r="R49" s="18">
        <f>P49-1</f>
        <v>-3</v>
      </c>
      <c r="T49" s="18">
        <f>R49-$A$17*($C49*$D49)+U49-($A$18*$F49/2)+$F49/2*$A$19</f>
        <v>1.379661662959828</v>
      </c>
      <c r="U49" s="3">
        <f>$F49/2*0.001*0.8</f>
        <v>8.586492611862642</v>
      </c>
      <c r="V49" s="18">
        <f>T49+($A$18*$F49/2)*0.8-($A$18*$F49/2)</f>
        <v>-0.4449680170609831</v>
      </c>
      <c r="W49" s="3">
        <f>U49+($A$18*$F49/2)*0.8</f>
        <v>15.885011331945888</v>
      </c>
      <c r="X49" s="18">
        <f>V49+($A$18*$F49/2)*0.8-($A$18*$F49/2)</f>
        <v>-2.269597697081794</v>
      </c>
      <c r="Y49" s="3">
        <f>W49+($A$18*$F49/2)*0.8</f>
        <v>23.183530052029134</v>
      </c>
      <c r="Z49" s="18">
        <f>X49+($A$18*$F49/2)*0.8-($A$18*$F49/2)</f>
        <v>-4.094227377102605</v>
      </c>
      <c r="AA49" s="3">
        <f>Y49+($A$18*$F49/2)*0.8</f>
        <v>30.48204877211238</v>
      </c>
      <c r="AB49" s="18">
        <f>Z49+($A$18*$F49/2)*0.8+$A$8*L49*M49/2/4*$A$15</f>
        <v>3.2042913429806408</v>
      </c>
      <c r="AC49" s="3">
        <f>AA49+($A$18*$F49/2)*0.8</f>
        <v>37.78056749219562</v>
      </c>
      <c r="AD49" s="20">
        <f>AB49+$F$30*AD$20*$A$15-AC49*$A$16-$E49/4</f>
        <v>3.5202439313558456</v>
      </c>
      <c r="AE49" s="19">
        <f>AC49*0.995</f>
        <v>37.59166465473464</v>
      </c>
      <c r="AF49" s="20">
        <f>AD49+$F$30*AF$20*$A$15-AE49*$A$16-$E49/4</f>
        <v>3.840919090667575</v>
      </c>
      <c r="AG49" s="19">
        <f>AE49*0.995</f>
        <v>37.40370633146097</v>
      </c>
      <c r="AH49" s="20">
        <f>AF49+$F$30*AH$20*$A$15-AG49*$A$16-$E49/4</f>
        <v>4.166293208061147</v>
      </c>
      <c r="AI49" s="19">
        <f>AG49*0.995</f>
        <v>37.21668779980366</v>
      </c>
      <c r="AJ49" s="20">
        <f>AH49+$F$30*AJ$20*$A$15-AI49*$A$16-$E49/4</f>
        <v>4.4963427887461505</v>
      </c>
      <c r="AK49" s="19">
        <f>AI49*0.995</f>
        <v>37.03060436080464</v>
      </c>
      <c r="AL49" s="20">
        <f>AJ49+$F$30*AL$20*$A$15-AK49*$A$16-$E49/4</f>
        <v>4.83104445540613</v>
      </c>
      <c r="AM49" s="19">
        <f>AK49*0.995</f>
        <v>36.84545133900061</v>
      </c>
      <c r="AN49" s="20">
        <f>AL49+$F$30*AN$20*$A$15-AM49*$A$16-$E49/4</f>
        <v>5.17037494761121</v>
      </c>
      <c r="AO49" s="19">
        <f>AM49*0.995</f>
        <v>36.66122408230561</v>
      </c>
      <c r="AP49" s="20">
        <f>AN49+$F$30*AP$20*$A$15-AO49*$A$16-$E49/4</f>
        <v>5.514311121233665</v>
      </c>
      <c r="AQ49" s="19">
        <f>AO49*0.995</f>
        <v>36.47791796189408</v>
      </c>
      <c r="AR49" s="20">
        <f>AP49+$F$30*AR$20*$A$15-AQ49*$A$16-$E49/4</f>
        <v>5.862829947866408</v>
      </c>
      <c r="AS49" s="19">
        <f>AQ49*0.995</f>
        <v>36.29552837208461</v>
      </c>
    </row>
    <row r="50" spans="1:26" ht="12.75">
      <c r="A50" s="14" t="s">
        <v>66</v>
      </c>
      <c r="B50" s="15" t="s">
        <v>67</v>
      </c>
      <c r="C50" s="38">
        <v>42</v>
      </c>
      <c r="D50" s="11">
        <v>1</v>
      </c>
      <c r="E50" s="13">
        <f>$E$32/$C$32*C50*D50</f>
        <v>0.7546930280957337</v>
      </c>
      <c r="H50" s="18">
        <v>0</v>
      </c>
      <c r="I50">
        <v>0</v>
      </c>
      <c r="J50" s="18"/>
      <c r="K50">
        <v>0</v>
      </c>
      <c r="M50">
        <v>0</v>
      </c>
      <c r="N50" s="18"/>
      <c r="O50">
        <v>0</v>
      </c>
      <c r="P50" s="18"/>
      <c r="R50" s="18"/>
      <c r="V50" s="18"/>
      <c r="X50" s="18"/>
      <c r="Z50" s="18"/>
    </row>
    <row r="51" spans="1:45" ht="12.75">
      <c r="A51" s="14" t="s">
        <v>68</v>
      </c>
      <c r="B51" s="30" t="s">
        <v>69</v>
      </c>
      <c r="C51" s="31">
        <v>34</v>
      </c>
      <c r="D51" s="34">
        <v>0.75</v>
      </c>
      <c r="E51" s="13">
        <f>$E$32/$C$32*C51*D51</f>
        <v>0.4582064813438383</v>
      </c>
      <c r="F51" s="35">
        <f>$F$32/$C$32*C51*D51</f>
        <v>9123.148400104057</v>
      </c>
      <c r="G51" s="9"/>
      <c r="H51" s="18">
        <v>0</v>
      </c>
      <c r="I51">
        <v>0</v>
      </c>
      <c r="J51" s="18">
        <v>0</v>
      </c>
      <c r="K51">
        <v>0</v>
      </c>
      <c r="L51" s="18">
        <v>0</v>
      </c>
      <c r="M51">
        <v>0</v>
      </c>
      <c r="N51" s="18">
        <v>-1</v>
      </c>
      <c r="O51">
        <v>0</v>
      </c>
      <c r="P51" s="18">
        <f>N51-1</f>
        <v>-2</v>
      </c>
      <c r="Q51">
        <v>0</v>
      </c>
      <c r="R51" s="18">
        <f>P51</f>
        <v>-2</v>
      </c>
      <c r="T51" s="18">
        <f>R51</f>
        <v>-2</v>
      </c>
      <c r="V51" s="18">
        <f>T51-1</f>
        <v>-3</v>
      </c>
      <c r="X51" s="18">
        <f>V51-$A$17*($C51*$D51)+Y51-($A$18*$F51/2)+$F51/2*$A$19</f>
        <v>-1.138643793242073</v>
      </c>
      <c r="Y51" s="3">
        <f>$F51/2*0.001*0.8</f>
        <v>3.649259360041623</v>
      </c>
      <c r="Z51" s="18">
        <f>X51+($A$18*$F51/2)*0.8-($A$18*$F51/2)</f>
        <v>-1.9141114072509176</v>
      </c>
      <c r="AA51" s="3">
        <f>Y51+($A$18*$F51/2)*0.8</f>
        <v>6.751129816077003</v>
      </c>
      <c r="AB51" s="18">
        <f>Z51+($A$18*$F51/2)*0.8-($A$18*$F51/2)</f>
        <v>-2.689579021259762</v>
      </c>
      <c r="AC51" s="3">
        <f>AA51+($A$18*$F51/2)*0.8</f>
        <v>9.853000272112382</v>
      </c>
      <c r="AD51" s="18">
        <f>AB51+($A$18*$F51/2)*0.8+$A$8*N51*O51/2/4*$A$15</f>
        <v>0.4122914347756179</v>
      </c>
      <c r="AE51" s="3">
        <f>AC51+($A$18*$F51/2)*0.8</f>
        <v>12.954870728147762</v>
      </c>
      <c r="AF51" s="18">
        <f>AD51+($A$18*$F51/2)*0.8+$A$8*P51*Q51/2/4</f>
        <v>3.514161890810998</v>
      </c>
      <c r="AG51" s="3">
        <f>AE51+($A$18*$F51/2)*0.8</f>
        <v>16.056741184183142</v>
      </c>
      <c r="AH51" s="20">
        <f>AF51+$F$30*AH$20*$A$15-AG51*$A$16-$E51/4</f>
        <v>4.52819174087046</v>
      </c>
      <c r="AI51" s="19">
        <f>AG51*0.995</f>
        <v>15.976457478262226</v>
      </c>
      <c r="AJ51" s="20">
        <f>AH51+$F$30*AJ$20*$A$15-AI51*$A$16-$E51/4</f>
        <v>5.544228683577944</v>
      </c>
      <c r="AK51" s="19">
        <f>AI51*0.995</f>
        <v>15.896575190870916</v>
      </c>
      <c r="AL51" s="20">
        <f>AJ51+$F$30*AL$20*$A$15-AK51*$A$16-$E51/4</f>
        <v>6.562262683470212</v>
      </c>
      <c r="AM51" s="3">
        <f>AK51+($A$18*$F51/2)*0.8</f>
        <v>18.998445646906298</v>
      </c>
      <c r="AN51" s="20">
        <f>AL51+$F$30*AN$20*$A$15-AM51*$A$16-$E51/4</f>
        <v>7.502749921961595</v>
      </c>
      <c r="AO51" s="3">
        <f>AM51+($A$18*$F51/2)*0.8</f>
        <v>22.100316102941676</v>
      </c>
      <c r="AP51" s="20">
        <f>AN51+$F$30*AP$20*$A$15-AO51*$A$16-$E51/4</f>
        <v>8.365690399052093</v>
      </c>
      <c r="AQ51" s="19">
        <f>AO51*0.995</f>
        <v>21.98981452242697</v>
      </c>
      <c r="AR51" s="20">
        <f>AP51+$F$30*AR$20*$A$15-AQ51*$A$16-$E51/4</f>
        <v>9.23139341565546</v>
      </c>
      <c r="AS51" s="19">
        <f>AQ51*0.995</f>
        <v>21.879865449814833</v>
      </c>
    </row>
    <row r="52" spans="1:22" ht="12.75">
      <c r="A52" s="14" t="s">
        <v>70</v>
      </c>
      <c r="B52" s="15" t="s">
        <v>71</v>
      </c>
      <c r="C52" s="38">
        <v>99</v>
      </c>
      <c r="D52" s="11">
        <v>1</v>
      </c>
      <c r="E52" s="13">
        <f>$E$32/$C$32*C52*D52</f>
        <v>1.7789192805113723</v>
      </c>
      <c r="H52" s="18">
        <v>0</v>
      </c>
      <c r="I52">
        <v>0</v>
      </c>
      <c r="J52" s="18"/>
      <c r="K52">
        <v>0</v>
      </c>
      <c r="M52">
        <v>0</v>
      </c>
      <c r="V52" s="18"/>
    </row>
    <row r="54" spans="2:45" ht="15">
      <c r="B54" s="24" t="s">
        <v>72</v>
      </c>
      <c r="C54" s="42">
        <f>SUM(C32:C52)/2+65</f>
        <v>593.95</v>
      </c>
      <c r="H54" s="43">
        <f>SUM(H32:H52)</f>
        <v>63</v>
      </c>
      <c r="I54" s="42">
        <f>SUM(I32:I52)</f>
        <v>78.58053691275168</v>
      </c>
      <c r="J54" s="44">
        <f>SUM(J32:J52)</f>
        <v>101.69902840643046</v>
      </c>
      <c r="K54" s="42">
        <f>SUM(K32:K52)</f>
        <v>195.00805369127517</v>
      </c>
      <c r="L54" s="44">
        <f>SUM(L32:L52)</f>
        <v>118.95415988828604</v>
      </c>
      <c r="M54" s="45">
        <f>SUM(M32:M52)</f>
        <v>209.54619445819858</v>
      </c>
      <c r="N54" s="44">
        <f>SUM(N32:N52)</f>
        <v>126.44371538853962</v>
      </c>
      <c r="O54" s="42">
        <f>SUM(O32:O52)</f>
        <v>227.5050276689201</v>
      </c>
      <c r="P54" s="44">
        <f>SUM(P32:P52)</f>
        <v>146.71909489660945</v>
      </c>
      <c r="Q54" s="42">
        <f>SUM(Q32:Q52)</f>
        <v>260.19685233921234</v>
      </c>
      <c r="R54" s="44">
        <f>SUM(R32:R52)</f>
        <v>175.3832910824339</v>
      </c>
      <c r="S54" s="42">
        <f>SUM(S32:S52)</f>
        <v>312.1525509680704</v>
      </c>
      <c r="T54" s="44">
        <f>SUM(T32:T52)</f>
        <v>170.67694444769927</v>
      </c>
      <c r="U54" s="45">
        <f>SUM(U32:U52)</f>
        <v>361.73055903548936</v>
      </c>
      <c r="V54" s="44">
        <f>SUM(V32:V52)</f>
        <v>168.37454804391638</v>
      </c>
      <c r="W54" s="42">
        <f>SUM(W32:W52)</f>
        <v>410.02638036189364</v>
      </c>
      <c r="X54" s="44">
        <f>SUM(X32:X52)</f>
        <v>182.77489978054322</v>
      </c>
      <c r="Y54" s="42">
        <f>SUM(Y32:Y52)</f>
        <v>454.11542662792885</v>
      </c>
      <c r="Z54" s="44">
        <f>SUM(Z32:Z52)</f>
        <v>204.20515917489593</v>
      </c>
      <c r="AA54" s="42">
        <f>SUM(AA32:AA52)</f>
        <v>481.503453625424</v>
      </c>
      <c r="AB54" s="44">
        <f>SUM(AB32:AB52)</f>
        <v>216.01327790363968</v>
      </c>
      <c r="AC54" s="45">
        <f>SUM(AC32:AC52)</f>
        <v>489.6824914263564</v>
      </c>
      <c r="AD54" s="44">
        <f>SUM(AD32:AD52)</f>
        <v>224.7717023550992</v>
      </c>
      <c r="AE54" s="42">
        <f>SUM(AE32:AE52)</f>
        <v>490.38521442662056</v>
      </c>
      <c r="AF54" s="44">
        <f>SUM(AF32:AF52)</f>
        <v>233.590105492953</v>
      </c>
      <c r="AG54" s="42">
        <f>SUM(AG32:AG52)</f>
        <v>491.0999331641636</v>
      </c>
      <c r="AH54" s="44">
        <f>SUM(AH32:AH52)</f>
        <v>240.38034681779328</v>
      </c>
      <c r="AI54" s="42">
        <f>SUM(AI32:AI52)</f>
        <v>488.6444334983427</v>
      </c>
      <c r="AJ54" s="44">
        <f>SUM(AJ32:AJ52)</f>
        <v>247.23197563427897</v>
      </c>
      <c r="AK54" s="45">
        <f>SUM(AK32:AK52)</f>
        <v>486.20121133085115</v>
      </c>
      <c r="AL54" s="44">
        <f>SUM(AL32:AL52)</f>
        <v>254.14468500495207</v>
      </c>
      <c r="AM54" s="42">
        <f>SUM(AM32:AM52)</f>
        <v>486.9515586061865</v>
      </c>
      <c r="AN54" s="44">
        <f>SUM(AN32:AN52)</f>
        <v>261.0386356937417</v>
      </c>
      <c r="AO54" s="42">
        <f>SUM(AO32:AO52)</f>
        <v>487.7136634974255</v>
      </c>
      <c r="AP54" s="44">
        <f>SUM(AP32:AP52)</f>
        <v>267.9135337602504</v>
      </c>
      <c r="AQ54" s="42">
        <f>SUM(AQ32:AQ52)</f>
        <v>485.2750951799384</v>
      </c>
      <c r="AR54" s="44">
        <f>SUM(AR32:AR52)</f>
        <v>274.8493960346962</v>
      </c>
      <c r="AS54" s="45">
        <f>SUM(AS32:AS52)</f>
        <v>482.84871970403873</v>
      </c>
    </row>
    <row r="56" spans="2:7" ht="12.75">
      <c r="B56" t="s">
        <v>73</v>
      </c>
      <c r="G56" s="9"/>
    </row>
    <row r="57" spans="2:7" ht="12.75">
      <c r="B57" t="s">
        <v>74</v>
      </c>
      <c r="G57" s="9"/>
    </row>
    <row r="58" ht="12.75">
      <c r="B58" t="s">
        <v>75</v>
      </c>
    </row>
    <row r="66" ht="12.75">
      <c r="A66" t="s">
        <v>76</v>
      </c>
    </row>
    <row r="67" ht="12.75">
      <c r="B67" t="s">
        <v>77</v>
      </c>
    </row>
    <row r="68" ht="12.75">
      <c r="B68" t="s">
        <v>78</v>
      </c>
    </row>
    <row r="69" ht="12.75">
      <c r="B69" t="s">
        <v>79</v>
      </c>
    </row>
    <row r="70" ht="12.75">
      <c r="B70" t="s">
        <v>80</v>
      </c>
    </row>
  </sheetData>
  <hyperlinks>
    <hyperlink ref="B10" r:id="rId1" display="Pipeline som det kan ses af www.greentech.dk, med suppl. fra GF2009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Q9" sqref="Q9"/>
    </sheetView>
  </sheetViews>
  <sheetFormatPr defaultColWidth="12.57421875" defaultRowHeight="12.75"/>
  <cols>
    <col min="1" max="16384" width="11.57421875" style="0" customWidth="1"/>
  </cols>
  <sheetData>
    <row r="1" ht="12.75">
      <c r="E1" t="s">
        <v>81</v>
      </c>
    </row>
    <row r="3" ht="12.75">
      <c r="L3" t="s">
        <v>82</v>
      </c>
    </row>
    <row r="4" spans="1:19" ht="12.75">
      <c r="A4" t="s">
        <v>83</v>
      </c>
      <c r="E4" s="46">
        <v>40176</v>
      </c>
      <c r="F4" s="46">
        <v>40182</v>
      </c>
      <c r="G4" s="46">
        <v>40196</v>
      </c>
      <c r="H4" s="46">
        <v>40210</v>
      </c>
      <c r="I4" s="46">
        <v>40218</v>
      </c>
      <c r="J4" s="46">
        <v>40224</v>
      </c>
      <c r="K4" s="46">
        <v>40231</v>
      </c>
      <c r="L4" s="47">
        <v>40238</v>
      </c>
      <c r="M4" s="46">
        <v>40245</v>
      </c>
      <c r="N4" s="47">
        <v>40252</v>
      </c>
      <c r="O4" s="47"/>
      <c r="P4" s="47"/>
      <c r="Q4" s="47"/>
      <c r="R4" t="s">
        <v>84</v>
      </c>
      <c r="S4" t="s">
        <v>85</v>
      </c>
    </row>
    <row r="5" spans="4:19" ht="12.75">
      <c r="D5" t="s">
        <v>86</v>
      </c>
      <c r="E5">
        <v>8</v>
      </c>
      <c r="F5">
        <v>11</v>
      </c>
      <c r="G5">
        <v>13</v>
      </c>
      <c r="H5">
        <v>15</v>
      </c>
      <c r="I5">
        <v>19</v>
      </c>
      <c r="J5">
        <v>22</v>
      </c>
      <c r="K5">
        <v>25</v>
      </c>
      <c r="L5">
        <v>26</v>
      </c>
      <c r="M5">
        <v>28</v>
      </c>
      <c r="N5">
        <v>29</v>
      </c>
      <c r="R5" s="3">
        <f>892/360</f>
        <v>2.477777777777778</v>
      </c>
      <c r="S5" s="3"/>
    </row>
    <row r="6" spans="4:19" ht="12.75">
      <c r="D6" t="s">
        <v>87</v>
      </c>
      <c r="L6">
        <v>1</v>
      </c>
      <c r="M6">
        <v>3</v>
      </c>
      <c r="N6">
        <v>5</v>
      </c>
      <c r="R6" s="3">
        <f>540*450</f>
        <v>243000</v>
      </c>
      <c r="S6" s="3"/>
    </row>
    <row r="7" spans="4:20" ht="12.75">
      <c r="D7" t="s">
        <v>88</v>
      </c>
      <c r="E7" s="3">
        <f>E5*31</f>
        <v>248</v>
      </c>
      <c r="F7" s="3">
        <f>(F5-E5)*28</f>
        <v>84</v>
      </c>
      <c r="G7" s="3">
        <f>2*13</f>
        <v>26</v>
      </c>
      <c r="Q7" s="3">
        <f>SUM(E7:J7)</f>
        <v>358</v>
      </c>
      <c r="R7" s="2">
        <v>892</v>
      </c>
      <c r="S7" s="35">
        <f>R7*0.18</f>
        <v>160.56</v>
      </c>
      <c r="T7" t="s">
        <v>89</v>
      </c>
    </row>
    <row r="8" spans="8:20" ht="12.75">
      <c r="H8" s="3">
        <f>H5*28</f>
        <v>420</v>
      </c>
      <c r="I8" s="3">
        <f>4*19</f>
        <v>76</v>
      </c>
      <c r="J8" s="3">
        <f>3*14</f>
        <v>42</v>
      </c>
      <c r="K8" s="3">
        <f>3*7</f>
        <v>21</v>
      </c>
      <c r="Q8" s="3">
        <f>SUM(E8:K8)</f>
        <v>559</v>
      </c>
      <c r="R8" s="35">
        <f>R7/Q7*Q8</f>
        <v>1392.8156424581005</v>
      </c>
      <c r="S8" s="35">
        <f>R8*0.18</f>
        <v>250.70681564245808</v>
      </c>
      <c r="T8" t="s">
        <v>90</v>
      </c>
    </row>
    <row r="9" spans="4:20" ht="12.75">
      <c r="D9" t="s">
        <v>91</v>
      </c>
      <c r="L9" s="35">
        <f>(L5+1.7*L6)*31</f>
        <v>858.6999999999999</v>
      </c>
      <c r="M9" s="35">
        <f>((M5-L5)+1.7*(M6-L6))*24</f>
        <v>129.60000000000002</v>
      </c>
      <c r="N9" s="35">
        <f>((N5-M5)+1.7*(N6-M6))*17</f>
        <v>74.80000000000001</v>
      </c>
      <c r="Q9" s="35">
        <f>SUM(L9:P9)</f>
        <v>1063.1</v>
      </c>
      <c r="T9" t="s">
        <v>92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S16">
      <selection activeCell="AQ32" sqref="AQ32"/>
    </sheetView>
  </sheetViews>
  <sheetFormatPr defaultColWidth="9.140625" defaultRowHeight="12.75"/>
  <cols>
    <col min="1" max="1" width="8.28125" style="0" customWidth="1"/>
    <col min="2" max="2" width="4.421875" style="43" customWidth="1"/>
    <col min="3" max="3" width="15.140625" style="0" customWidth="1"/>
    <col min="4" max="5" width="6.00390625" style="11" customWidth="1"/>
    <col min="6" max="6" width="3.7109375" style="0" customWidth="1"/>
    <col min="11" max="11" width="2.8515625" style="0" customWidth="1"/>
    <col min="18" max="18" width="2.7109375" style="0" customWidth="1"/>
    <col min="23" max="23" width="3.140625" style="0" customWidth="1"/>
  </cols>
  <sheetData>
    <row r="1" ht="17.25">
      <c r="A1" s="1" t="s">
        <v>93</v>
      </c>
    </row>
    <row r="2" spans="7:24" ht="15">
      <c r="G2">
        <v>2007</v>
      </c>
      <c r="L2" t="s">
        <v>94</v>
      </c>
      <c r="M2">
        <v>2008</v>
      </c>
      <c r="N2" t="s">
        <v>26</v>
      </c>
      <c r="O2" t="s">
        <v>95</v>
      </c>
      <c r="S2">
        <v>2009</v>
      </c>
      <c r="X2">
        <v>2010</v>
      </c>
    </row>
    <row r="3" spans="1:27" ht="15">
      <c r="A3" s="2" t="s">
        <v>96</v>
      </c>
      <c r="D3" s="11" t="s">
        <v>31</v>
      </c>
      <c r="E3" s="11" t="s">
        <v>32</v>
      </c>
      <c r="G3" t="s">
        <v>31</v>
      </c>
      <c r="H3" t="s">
        <v>97</v>
      </c>
      <c r="I3" t="s">
        <v>98</v>
      </c>
      <c r="J3" t="s">
        <v>99</v>
      </c>
      <c r="M3" t="s">
        <v>31</v>
      </c>
      <c r="N3" t="s">
        <v>97</v>
      </c>
      <c r="O3" t="s">
        <v>97</v>
      </c>
      <c r="P3" t="s">
        <v>100</v>
      </c>
      <c r="Q3" t="s">
        <v>101</v>
      </c>
      <c r="S3" t="s">
        <v>31</v>
      </c>
      <c r="T3" t="s">
        <v>97</v>
      </c>
      <c r="U3" t="s">
        <v>100</v>
      </c>
      <c r="V3" t="s">
        <v>101</v>
      </c>
      <c r="X3" t="s">
        <v>31</v>
      </c>
      <c r="Y3" t="s">
        <v>97</v>
      </c>
      <c r="Z3" t="s">
        <v>100</v>
      </c>
      <c r="AA3" t="s">
        <v>101</v>
      </c>
    </row>
    <row r="4" ht="15" customHeight="1">
      <c r="A4" t="s">
        <v>102</v>
      </c>
    </row>
    <row r="5" spans="2:21" ht="15">
      <c r="B5" s="43" t="s">
        <v>103</v>
      </c>
      <c r="G5" s="48">
        <v>15.45</v>
      </c>
      <c r="H5" s="49">
        <f>G5*2000</f>
        <v>30900.000000000004</v>
      </c>
      <c r="I5" s="49">
        <v>0.6</v>
      </c>
      <c r="J5" s="49">
        <f>H5*I5/1000</f>
        <v>18.54</v>
      </c>
      <c r="K5" s="48"/>
      <c r="L5" s="48"/>
      <c r="M5" s="48">
        <v>15.45</v>
      </c>
      <c r="N5" s="50">
        <v>19013</v>
      </c>
      <c r="O5" s="50">
        <v>26</v>
      </c>
      <c r="P5" s="48">
        <v>0.52</v>
      </c>
      <c r="Q5" s="3">
        <f>P5*O5</f>
        <v>13.52</v>
      </c>
      <c r="S5" s="48">
        <v>15.45</v>
      </c>
      <c r="U5" s="48">
        <v>0.56</v>
      </c>
    </row>
    <row r="6" ht="9.75" customHeight="1"/>
    <row r="7" spans="2:19" ht="15">
      <c r="B7" s="43" t="s">
        <v>104</v>
      </c>
      <c r="G7" s="51">
        <f>SUM(G8:G10)</f>
        <v>26.38125</v>
      </c>
      <c r="H7" s="52">
        <f>SUM(H8:H10)</f>
        <v>38489</v>
      </c>
      <c r="I7" s="49"/>
      <c r="J7" s="49"/>
      <c r="K7" s="48"/>
      <c r="L7" s="48"/>
      <c r="M7" s="53">
        <f>SUM(M8:M10)</f>
        <v>30.150000000000002</v>
      </c>
      <c r="N7" s="50">
        <v>37184</v>
      </c>
      <c r="O7" s="50">
        <v>50</v>
      </c>
      <c r="P7" s="48">
        <v>0.664</v>
      </c>
      <c r="S7" s="53">
        <f>SUM(S8:S10)</f>
        <v>30.150000000000002</v>
      </c>
    </row>
    <row r="8" spans="1:19" ht="15">
      <c r="A8" t="s">
        <v>105</v>
      </c>
      <c r="C8" s="15" t="s">
        <v>106</v>
      </c>
      <c r="D8" s="11">
        <v>7.5</v>
      </c>
      <c r="E8" s="41">
        <v>0.5</v>
      </c>
      <c r="G8" s="54">
        <f>D8*21/24/2</f>
        <v>3.28125</v>
      </c>
      <c r="H8" s="55">
        <v>7977</v>
      </c>
      <c r="M8" s="3">
        <f>7.5/2</f>
        <v>3.75</v>
      </c>
      <c r="N8" s="56">
        <v>6758</v>
      </c>
      <c r="O8" s="56"/>
      <c r="S8" s="3">
        <f>7.5/2</f>
        <v>3.75</v>
      </c>
    </row>
    <row r="9" spans="1:19" ht="15">
      <c r="A9" t="s">
        <v>105</v>
      </c>
      <c r="C9" s="15" t="s">
        <v>107</v>
      </c>
      <c r="D9" s="11">
        <v>6</v>
      </c>
      <c r="E9" s="41">
        <v>0.5</v>
      </c>
      <c r="G9" s="54">
        <f>D9*21/24/2</f>
        <v>2.625</v>
      </c>
      <c r="H9" s="56">
        <v>5558</v>
      </c>
      <c r="M9">
        <v>3</v>
      </c>
      <c r="N9" s="56">
        <v>4738</v>
      </c>
      <c r="O9" s="56"/>
      <c r="S9">
        <v>3</v>
      </c>
    </row>
    <row r="10" spans="1:19" ht="15">
      <c r="A10" t="s">
        <v>105</v>
      </c>
      <c r="C10" s="15" t="s">
        <v>108</v>
      </c>
      <c r="D10" s="11">
        <v>23.4</v>
      </c>
      <c r="E10" s="11">
        <v>1</v>
      </c>
      <c r="G10" s="54">
        <f>D10*21/24</f>
        <v>20.475</v>
      </c>
      <c r="H10" s="56">
        <v>24954</v>
      </c>
      <c r="M10">
        <v>23.4</v>
      </c>
      <c r="N10" s="56">
        <v>25689</v>
      </c>
      <c r="O10" s="56"/>
      <c r="S10">
        <v>23.4</v>
      </c>
    </row>
    <row r="11" spans="14:15" ht="12" customHeight="1">
      <c r="N11" s="56"/>
      <c r="O11" s="56"/>
    </row>
    <row r="12" spans="2:21" ht="15">
      <c r="B12" s="43" t="s">
        <v>23</v>
      </c>
      <c r="G12" s="48"/>
      <c r="H12" s="49"/>
      <c r="I12" s="49"/>
      <c r="J12" s="49"/>
      <c r="K12" s="48"/>
      <c r="L12" s="48"/>
      <c r="M12" s="48"/>
      <c r="N12" s="50"/>
      <c r="O12" s="50"/>
      <c r="P12" s="48">
        <v>0.866</v>
      </c>
      <c r="U12" s="49">
        <v>0.95</v>
      </c>
    </row>
    <row r="13" spans="1:15" ht="15">
      <c r="A13">
        <v>2006</v>
      </c>
      <c r="C13" s="24" t="s">
        <v>109</v>
      </c>
      <c r="D13" s="11">
        <v>1.6</v>
      </c>
      <c r="E13" s="11">
        <v>1</v>
      </c>
      <c r="G13">
        <v>1.6</v>
      </c>
      <c r="H13" s="56">
        <v>3226</v>
      </c>
      <c r="N13" s="55">
        <v>2200</v>
      </c>
      <c r="O13" s="55">
        <v>3</v>
      </c>
    </row>
    <row r="14" spans="1:5" ht="15">
      <c r="A14">
        <v>2010</v>
      </c>
      <c r="B14" s="43" t="s">
        <v>110</v>
      </c>
      <c r="C14" s="15" t="s">
        <v>63</v>
      </c>
      <c r="D14" s="11">
        <v>75</v>
      </c>
      <c r="E14" s="11">
        <v>1</v>
      </c>
    </row>
    <row r="15" spans="1:5" ht="15">
      <c r="A15" t="s">
        <v>111</v>
      </c>
      <c r="B15" s="43" t="s">
        <v>110</v>
      </c>
      <c r="C15" s="2" t="s">
        <v>47</v>
      </c>
      <c r="D15" s="38">
        <v>24</v>
      </c>
      <c r="E15" s="11">
        <v>1</v>
      </c>
    </row>
    <row r="16" spans="1:5" ht="15">
      <c r="A16" t="s">
        <v>111</v>
      </c>
      <c r="B16" s="43" t="s">
        <v>110</v>
      </c>
      <c r="C16" s="2" t="s">
        <v>48</v>
      </c>
      <c r="D16" s="38">
        <v>20</v>
      </c>
      <c r="E16" s="11">
        <v>1</v>
      </c>
    </row>
    <row r="17" spans="1:5" ht="15">
      <c r="A17" t="s">
        <v>112</v>
      </c>
      <c r="B17" s="43" t="s">
        <v>110</v>
      </c>
      <c r="C17" s="15" t="s">
        <v>50</v>
      </c>
      <c r="D17" s="38">
        <v>16</v>
      </c>
      <c r="E17" s="11">
        <v>1</v>
      </c>
    </row>
    <row r="18" spans="1:5" ht="15">
      <c r="A18">
        <v>2010</v>
      </c>
      <c r="B18" s="43" t="s">
        <v>110</v>
      </c>
      <c r="C18" s="15" t="s">
        <v>62</v>
      </c>
      <c r="D18" s="38">
        <v>32.2</v>
      </c>
      <c r="E18" s="41">
        <v>0.5</v>
      </c>
    </row>
    <row r="19" spans="2:5" ht="15">
      <c r="B19" s="43" t="s">
        <v>110</v>
      </c>
      <c r="C19" s="15" t="s">
        <v>67</v>
      </c>
      <c r="D19" s="38">
        <v>42</v>
      </c>
      <c r="E19" s="11">
        <v>1</v>
      </c>
    </row>
    <row r="20" spans="1:5" ht="15">
      <c r="A20">
        <v>2010</v>
      </c>
      <c r="B20" s="43" t="s">
        <v>110</v>
      </c>
      <c r="C20" s="15" t="s">
        <v>52</v>
      </c>
      <c r="D20" s="38">
        <v>12.5</v>
      </c>
      <c r="E20" s="11">
        <v>1</v>
      </c>
    </row>
    <row r="21" spans="3:5" ht="15">
      <c r="C21" s="15" t="s">
        <v>71</v>
      </c>
      <c r="D21" s="38">
        <v>99</v>
      </c>
      <c r="E21" s="11">
        <v>1</v>
      </c>
    </row>
    <row r="22" ht="15">
      <c r="D22" s="57">
        <f>SUM(D13:D21)</f>
        <v>322.3</v>
      </c>
    </row>
    <row r="24" spans="2:21" ht="15">
      <c r="B24" s="43" t="s">
        <v>21</v>
      </c>
      <c r="G24" s="48"/>
      <c r="H24" s="49"/>
      <c r="I24" s="49"/>
      <c r="J24" s="49"/>
      <c r="K24" s="48"/>
      <c r="L24" s="48"/>
      <c r="M24" s="48"/>
      <c r="N24" s="50">
        <v>23276</v>
      </c>
      <c r="O24" s="50">
        <v>24</v>
      </c>
      <c r="P24" s="48">
        <v>1.416</v>
      </c>
      <c r="U24">
        <v>0.664</v>
      </c>
    </row>
    <row r="25" spans="1:20" ht="15">
      <c r="A25" t="s">
        <v>113</v>
      </c>
      <c r="B25" s="43" t="s">
        <v>110</v>
      </c>
      <c r="C25" s="15" t="s">
        <v>37</v>
      </c>
      <c r="D25" s="11">
        <v>21</v>
      </c>
      <c r="E25" s="11">
        <v>1</v>
      </c>
      <c r="G25" s="54">
        <f>D25/24*11</f>
        <v>9.625</v>
      </c>
      <c r="H25" s="56">
        <v>9634</v>
      </c>
      <c r="N25" s="55">
        <v>23276</v>
      </c>
      <c r="O25" s="55">
        <v>24</v>
      </c>
      <c r="P25">
        <v>1.416</v>
      </c>
      <c r="T25">
        <v>30000</v>
      </c>
    </row>
    <row r="26" spans="1:12" ht="15">
      <c r="A26" t="s">
        <v>114</v>
      </c>
      <c r="B26" s="43" t="s">
        <v>110</v>
      </c>
      <c r="C26" t="s">
        <v>41</v>
      </c>
      <c r="D26" s="11">
        <v>98.9</v>
      </c>
      <c r="E26" s="11">
        <v>1</v>
      </c>
      <c r="L26" s="58">
        <v>534.574</v>
      </c>
    </row>
    <row r="27" spans="1:12" ht="15">
      <c r="A27" t="s">
        <v>115</v>
      </c>
      <c r="B27" s="43" t="s">
        <v>110</v>
      </c>
      <c r="C27" t="s">
        <v>39</v>
      </c>
      <c r="D27" s="11">
        <v>48.3</v>
      </c>
      <c r="E27" s="41">
        <v>0.85</v>
      </c>
      <c r="L27" s="58">
        <v>329.643</v>
      </c>
    </row>
    <row r="28" spans="1:12" ht="15">
      <c r="A28">
        <v>2009</v>
      </c>
      <c r="B28" s="43" t="s">
        <v>110</v>
      </c>
      <c r="C28" t="s">
        <v>40</v>
      </c>
      <c r="D28" s="11">
        <v>24</v>
      </c>
      <c r="E28" s="11">
        <v>1</v>
      </c>
      <c r="L28">
        <v>114.257</v>
      </c>
    </row>
    <row r="29" spans="1:5" ht="15">
      <c r="A29" t="s">
        <v>112</v>
      </c>
      <c r="B29" s="43" t="s">
        <v>110</v>
      </c>
      <c r="C29" s="30" t="s">
        <v>44</v>
      </c>
      <c r="D29" s="31">
        <v>13.5</v>
      </c>
      <c r="E29" s="31">
        <v>1</v>
      </c>
    </row>
    <row r="30" spans="1:5" ht="15">
      <c r="A30">
        <v>2009</v>
      </c>
      <c r="B30" s="43" t="s">
        <v>110</v>
      </c>
      <c r="C30" s="30" t="s">
        <v>46</v>
      </c>
      <c r="D30" s="31">
        <v>70</v>
      </c>
      <c r="E30" s="34">
        <v>0.75</v>
      </c>
    </row>
    <row r="31" spans="1:5" ht="15">
      <c r="A31" t="s">
        <v>116</v>
      </c>
      <c r="B31" s="43" t="s">
        <v>110</v>
      </c>
      <c r="C31" s="30" t="s">
        <v>61</v>
      </c>
      <c r="D31" s="31">
        <v>14</v>
      </c>
      <c r="E31" s="31">
        <v>1</v>
      </c>
    </row>
    <row r="32" spans="1:5" ht="15">
      <c r="A32">
        <v>2010</v>
      </c>
      <c r="B32" s="43" t="s">
        <v>110</v>
      </c>
      <c r="C32" s="30" t="s">
        <v>53</v>
      </c>
      <c r="D32" s="31">
        <v>52</v>
      </c>
      <c r="E32" s="34">
        <v>0.75</v>
      </c>
    </row>
    <row r="33" spans="1:5" ht="15">
      <c r="A33">
        <v>2011</v>
      </c>
      <c r="B33" s="43" t="s">
        <v>110</v>
      </c>
      <c r="C33" s="30" t="s">
        <v>69</v>
      </c>
      <c r="D33" s="31">
        <v>34</v>
      </c>
      <c r="E33" s="34">
        <v>0.75</v>
      </c>
    </row>
    <row r="34" spans="1:15" ht="15">
      <c r="A34">
        <v>2011</v>
      </c>
      <c r="B34" s="43" t="s">
        <v>110</v>
      </c>
      <c r="C34" s="30" t="s">
        <v>60</v>
      </c>
      <c r="D34" s="31">
        <v>140</v>
      </c>
      <c r="E34" s="31">
        <v>1</v>
      </c>
      <c r="H34" s="49"/>
      <c r="I34" s="49"/>
      <c r="J34" s="49"/>
      <c r="K34" s="48"/>
      <c r="L34" s="48"/>
      <c r="M34" s="48"/>
      <c r="N34" s="50"/>
      <c r="O34" s="50"/>
    </row>
    <row r="35" spans="2:5" ht="12.75">
      <c r="B35"/>
      <c r="D35"/>
      <c r="E35"/>
    </row>
    <row r="36" spans="1:5" ht="15">
      <c r="A36">
        <v>2010</v>
      </c>
      <c r="B36" s="43" t="s">
        <v>110</v>
      </c>
      <c r="C36" s="30" t="s">
        <v>54</v>
      </c>
      <c r="D36" s="31">
        <v>32</v>
      </c>
      <c r="E36" s="34">
        <v>0.75</v>
      </c>
    </row>
    <row r="37" spans="1:5" ht="15">
      <c r="A37">
        <v>2011</v>
      </c>
      <c r="B37" s="43" t="s">
        <v>110</v>
      </c>
      <c r="C37" s="30" t="s">
        <v>56</v>
      </c>
      <c r="D37" s="31">
        <v>92.5</v>
      </c>
      <c r="E37" s="31">
        <v>1</v>
      </c>
    </row>
    <row r="38" spans="1:5" ht="15">
      <c r="A38">
        <v>2010</v>
      </c>
      <c r="B38" s="43" t="s">
        <v>110</v>
      </c>
      <c r="C38" s="30" t="s">
        <v>57</v>
      </c>
      <c r="D38" s="31">
        <v>14</v>
      </c>
      <c r="E38" s="31">
        <v>1</v>
      </c>
    </row>
    <row r="39" spans="1:5" ht="15">
      <c r="A39">
        <v>2011</v>
      </c>
      <c r="B39" s="43" t="s">
        <v>110</v>
      </c>
      <c r="C39" s="30" t="s">
        <v>65</v>
      </c>
      <c r="D39" s="31">
        <v>60</v>
      </c>
      <c r="E39" s="31">
        <v>1</v>
      </c>
    </row>
    <row r="40" spans="1:5" ht="15">
      <c r="A40">
        <v>2010</v>
      </c>
      <c r="B40" s="43" t="s">
        <v>110</v>
      </c>
      <c r="C40" s="39" t="s">
        <v>58</v>
      </c>
      <c r="D40" s="40">
        <v>23</v>
      </c>
      <c r="E40" s="40">
        <v>1</v>
      </c>
    </row>
    <row r="41" ht="15">
      <c r="D41" s="57">
        <f>SUM(D29:D40)</f>
        <v>545</v>
      </c>
    </row>
    <row r="42" ht="15">
      <c r="B42" s="43" t="s">
        <v>117</v>
      </c>
    </row>
    <row r="43" spans="3:5" ht="15">
      <c r="C43" t="s">
        <v>118</v>
      </c>
      <c r="D43" s="11">
        <v>30</v>
      </c>
      <c r="E43" s="59">
        <v>0.115</v>
      </c>
    </row>
    <row r="52" spans="5:8" ht="15">
      <c r="E52" s="11" t="s">
        <v>119</v>
      </c>
      <c r="G52" t="s">
        <v>120</v>
      </c>
      <c r="H52" t="s">
        <v>121</v>
      </c>
    </row>
    <row r="53" spans="1:7" ht="15">
      <c r="A53" t="s">
        <v>122</v>
      </c>
      <c r="C53" t="s">
        <v>123</v>
      </c>
      <c r="D53" s="11" t="s">
        <v>124</v>
      </c>
      <c r="E53" s="11">
        <v>-100</v>
      </c>
      <c r="G53" s="3">
        <f>G52-E53</f>
        <v>100</v>
      </c>
    </row>
    <row r="54" spans="1:7" ht="15">
      <c r="A54" t="s">
        <v>125</v>
      </c>
      <c r="C54" t="s">
        <v>126</v>
      </c>
      <c r="E54" s="11">
        <v>-10</v>
      </c>
      <c r="G54" s="3">
        <f>G53-E54</f>
        <v>110</v>
      </c>
    </row>
    <row r="55" spans="3:7" ht="15">
      <c r="C55" t="s">
        <v>127</v>
      </c>
      <c r="D55" s="11" t="s">
        <v>128</v>
      </c>
      <c r="E55" s="11">
        <v>60</v>
      </c>
      <c r="G55" s="3">
        <f>G54-E55</f>
        <v>50</v>
      </c>
    </row>
    <row r="56" spans="3:7" ht="15">
      <c r="C56" t="s">
        <v>129</v>
      </c>
      <c r="D56" s="41">
        <v>0.8</v>
      </c>
      <c r="E56" s="11">
        <f>D56*60</f>
        <v>48</v>
      </c>
      <c r="G56" s="3">
        <f>G55-E56</f>
        <v>2</v>
      </c>
    </row>
    <row r="57" spans="1:7" ht="15">
      <c r="A57" t="s">
        <v>130</v>
      </c>
      <c r="C57" t="s">
        <v>131</v>
      </c>
      <c r="E57" s="11">
        <v>-500</v>
      </c>
      <c r="G57" s="3">
        <f>G56-E57</f>
        <v>502</v>
      </c>
    </row>
    <row r="58" spans="3:8" ht="15">
      <c r="C58" t="s">
        <v>129</v>
      </c>
      <c r="D58" s="41">
        <v>0.8</v>
      </c>
      <c r="E58" s="11">
        <f>D58*500</f>
        <v>400</v>
      </c>
      <c r="G58" s="3">
        <f>G57-E58</f>
        <v>102</v>
      </c>
      <c r="H58">
        <v>450</v>
      </c>
    </row>
    <row r="59" spans="3:7" ht="15">
      <c r="C59" t="s">
        <v>132</v>
      </c>
      <c r="D59" s="41"/>
      <c r="E59" s="11">
        <v>-10</v>
      </c>
      <c r="G59" s="3">
        <f>G58-E59</f>
        <v>112</v>
      </c>
    </row>
    <row r="60" spans="1:7" ht="15">
      <c r="A60" t="s">
        <v>133</v>
      </c>
      <c r="C60" t="s">
        <v>134</v>
      </c>
      <c r="E60" s="11">
        <v>100</v>
      </c>
      <c r="G60" s="3">
        <f>G59-E60</f>
        <v>12</v>
      </c>
    </row>
    <row r="61" spans="3:7" ht="15">
      <c r="C61" t="s">
        <v>132</v>
      </c>
      <c r="E61" s="11">
        <f>-45</f>
        <v>-45</v>
      </c>
      <c r="G61" s="3">
        <f>G60-E61</f>
        <v>57</v>
      </c>
    </row>
    <row r="62" spans="1:7" ht="15">
      <c r="A62" t="s">
        <v>135</v>
      </c>
      <c r="C62" t="s">
        <v>134</v>
      </c>
      <c r="E62" s="11">
        <v>100</v>
      </c>
      <c r="G62" s="3">
        <f>G61-E62</f>
        <v>-43</v>
      </c>
    </row>
    <row r="63" spans="3:7" ht="15">
      <c r="C63" t="s">
        <v>132</v>
      </c>
      <c r="E63" s="11">
        <f>-45</f>
        <v>-45</v>
      </c>
      <c r="G63" s="3">
        <f>G62-E63</f>
        <v>2</v>
      </c>
    </row>
    <row r="64" spans="1:7" ht="15">
      <c r="A64" t="s">
        <v>136</v>
      </c>
      <c r="C64" t="s">
        <v>134</v>
      </c>
      <c r="E64" s="11">
        <v>100</v>
      </c>
      <c r="G64" s="3">
        <f>G63-E64</f>
        <v>-98</v>
      </c>
    </row>
    <row r="65" spans="3:7" ht="15">
      <c r="C65" t="s">
        <v>132</v>
      </c>
      <c r="E65" s="11">
        <f>-45</f>
        <v>-45</v>
      </c>
      <c r="G65" s="3">
        <f>G64-E65</f>
        <v>-53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F1">
      <selection activeCell="B44" sqref="B44"/>
    </sheetView>
  </sheetViews>
  <sheetFormatPr defaultColWidth="9.140625" defaultRowHeight="12.75"/>
  <cols>
    <col min="1" max="1" width="10.7109375" style="0" customWidth="1"/>
    <col min="2" max="2" width="24.28125" style="0" customWidth="1"/>
  </cols>
  <sheetData>
    <row r="1" spans="1:5" ht="19.5">
      <c r="A1" s="60" t="s">
        <v>137</v>
      </c>
      <c r="C1" t="s">
        <v>138</v>
      </c>
      <c r="D1">
        <v>7.45</v>
      </c>
      <c r="E1" t="s">
        <v>139</v>
      </c>
    </row>
    <row r="4" ht="17.25">
      <c r="A4" s="1" t="s">
        <v>140</v>
      </c>
    </row>
    <row r="5" spans="1:6" ht="10.5" customHeight="1">
      <c r="A5" s="61" t="s">
        <v>30</v>
      </c>
      <c r="B5" s="61" t="s">
        <v>141</v>
      </c>
      <c r="E5" t="s">
        <v>142</v>
      </c>
      <c r="F5" s="61" t="s">
        <v>143</v>
      </c>
    </row>
    <row r="6" spans="1:6" ht="19.5" customHeight="1">
      <c r="A6" t="s">
        <v>144</v>
      </c>
      <c r="B6" s="11" t="s">
        <v>145</v>
      </c>
      <c r="D6" t="s">
        <v>146</v>
      </c>
      <c r="E6">
        <v>1.3</v>
      </c>
      <c r="F6" t="s">
        <v>147</v>
      </c>
    </row>
    <row r="7" ht="12.75">
      <c r="B7" s="11"/>
    </row>
    <row r="8" spans="1:6" ht="23.25" customHeight="1">
      <c r="A8" t="s">
        <v>148</v>
      </c>
      <c r="B8" s="11" t="s">
        <v>149</v>
      </c>
      <c r="E8">
        <v>3.3</v>
      </c>
      <c r="F8" t="s">
        <v>150</v>
      </c>
    </row>
    <row r="10" spans="1:6" ht="12.75">
      <c r="A10" t="s">
        <v>151</v>
      </c>
      <c r="B10" s="11" t="s">
        <v>152</v>
      </c>
      <c r="E10">
        <v>0.1</v>
      </c>
      <c r="F10" t="s">
        <v>153</v>
      </c>
    </row>
    <row r="11" spans="2:5" ht="12.75">
      <c r="B11" s="11" t="s">
        <v>154</v>
      </c>
      <c r="E11">
        <v>0.03</v>
      </c>
    </row>
    <row r="21" spans="2:6" ht="12.75">
      <c r="B21" s="11" t="s">
        <v>155</v>
      </c>
      <c r="F21" t="s">
        <v>156</v>
      </c>
    </row>
    <row r="22" ht="15">
      <c r="B22" s="11" t="s">
        <v>157</v>
      </c>
    </row>
    <row r="23" ht="12.75">
      <c r="B23" s="11"/>
    </row>
    <row r="25" ht="12.75">
      <c r="A25" t="s">
        <v>158</v>
      </c>
    </row>
    <row r="26" spans="2:11" ht="15">
      <c r="B26" s="62" t="s">
        <v>159</v>
      </c>
      <c r="I26" t="s">
        <v>160</v>
      </c>
      <c r="K26">
        <v>1139275</v>
      </c>
    </row>
    <row r="27" ht="12.75">
      <c r="B27" t="s">
        <v>161</v>
      </c>
    </row>
    <row r="28" spans="2:3" ht="12.75">
      <c r="B28" t="s">
        <v>162</v>
      </c>
      <c r="C28">
        <v>619116</v>
      </c>
    </row>
    <row r="29" spans="2:3" ht="12.75">
      <c r="B29" t="s">
        <v>163</v>
      </c>
      <c r="C29">
        <v>444650</v>
      </c>
    </row>
    <row r="30" spans="2:3" ht="12.75">
      <c r="B30" t="s">
        <v>164</v>
      </c>
      <c r="C30">
        <v>100470</v>
      </c>
    </row>
    <row r="31" spans="2:3" ht="12.75">
      <c r="B31" t="s">
        <v>165</v>
      </c>
      <c r="C31">
        <v>144498</v>
      </c>
    </row>
    <row r="36" spans="2:6" ht="12.75">
      <c r="B36" s="11" t="s">
        <v>166</v>
      </c>
      <c r="F36" t="s">
        <v>167</v>
      </c>
    </row>
    <row r="37" ht="12.75">
      <c r="B37" s="11" t="s">
        <v>168</v>
      </c>
    </row>
    <row r="38" ht="12.75">
      <c r="B38" s="11" t="s">
        <v>169</v>
      </c>
    </row>
    <row r="42" ht="12.75">
      <c r="B42" s="24" t="s">
        <v>170</v>
      </c>
    </row>
    <row r="43" spans="2:3" ht="12.75">
      <c r="B43" t="s">
        <v>171</v>
      </c>
      <c r="C43" t="s">
        <v>172</v>
      </c>
    </row>
    <row r="46" spans="6:7" ht="12.75">
      <c r="F46" t="s">
        <v>173</v>
      </c>
      <c r="G46" t="s">
        <v>174</v>
      </c>
    </row>
    <row r="47" spans="9:11" ht="12.75">
      <c r="I47" t="s">
        <v>175</v>
      </c>
      <c r="J47" t="s">
        <v>176</v>
      </c>
      <c r="K47" t="s">
        <v>177</v>
      </c>
    </row>
    <row r="48" spans="6:11" ht="12.75">
      <c r="F48">
        <v>1</v>
      </c>
      <c r="G48" s="63">
        <v>0.055</v>
      </c>
      <c r="H48">
        <v>100000</v>
      </c>
      <c r="I48" s="3">
        <f>H48/10</f>
        <v>10000</v>
      </c>
      <c r="J48" s="3">
        <f>H48*G48</f>
        <v>5500</v>
      </c>
      <c r="K48" s="3">
        <f>I48-J48</f>
        <v>4500</v>
      </c>
    </row>
    <row r="49" spans="6:11" ht="12.75">
      <c r="F49">
        <v>2</v>
      </c>
      <c r="G49" s="63">
        <v>0.055</v>
      </c>
      <c r="H49" s="3">
        <f>H48-K48</f>
        <v>95500</v>
      </c>
      <c r="I49">
        <v>10000</v>
      </c>
      <c r="J49" s="3">
        <f>H49*G49</f>
        <v>5252.5</v>
      </c>
      <c r="K49" s="3">
        <f>I49-J49</f>
        <v>4747.5</v>
      </c>
    </row>
    <row r="50" spans="6:11" ht="12.75">
      <c r="F50">
        <v>3</v>
      </c>
      <c r="G50" s="63">
        <v>0.055</v>
      </c>
      <c r="H50" s="3">
        <f>H49-K49</f>
        <v>90752.5</v>
      </c>
      <c r="I50">
        <v>10000</v>
      </c>
      <c r="J50" s="35">
        <f>H50*G50</f>
        <v>4991.3875</v>
      </c>
      <c r="K50" s="35">
        <f>I50-J50</f>
        <v>5008.6125</v>
      </c>
    </row>
    <row r="51" spans="6:11" ht="12.75">
      <c r="F51">
        <v>4</v>
      </c>
      <c r="G51" s="63">
        <v>0.055</v>
      </c>
      <c r="H51" s="35">
        <f>H50-K50</f>
        <v>85743.8875</v>
      </c>
      <c r="I51">
        <v>10000</v>
      </c>
      <c r="J51" s="35">
        <f>H51*G51</f>
        <v>4715.9138125</v>
      </c>
      <c r="K51" s="35">
        <f>I51-J51</f>
        <v>5284.0861875</v>
      </c>
    </row>
    <row r="52" spans="6:11" ht="12.75">
      <c r="F52">
        <v>5</v>
      </c>
      <c r="G52" s="63">
        <v>0.055</v>
      </c>
      <c r="H52" s="35">
        <f>H51-K51</f>
        <v>80459.8013125</v>
      </c>
      <c r="I52">
        <v>10000</v>
      </c>
      <c r="J52" s="35">
        <f>H52*G52</f>
        <v>4425.2890721875</v>
      </c>
      <c r="K52" s="35">
        <f>I52-J52</f>
        <v>5574.7109278125</v>
      </c>
    </row>
    <row r="53" spans="6:11" ht="12.75">
      <c r="F53">
        <v>6</v>
      </c>
      <c r="G53" s="63">
        <v>0.055</v>
      </c>
      <c r="H53" s="35">
        <f>H52-K52</f>
        <v>74885.0903846875</v>
      </c>
      <c r="I53">
        <v>10000</v>
      </c>
      <c r="J53" s="35">
        <f>H53*G53</f>
        <v>4118.679971157812</v>
      </c>
      <c r="K53" s="35">
        <f>I53-J53</f>
        <v>5881.320028842188</v>
      </c>
    </row>
    <row r="54" spans="6:11" ht="12.75">
      <c r="F54">
        <v>7</v>
      </c>
      <c r="G54" s="63">
        <v>0.055</v>
      </c>
      <c r="H54" s="35">
        <f>H53-K53</f>
        <v>69003.7703558453</v>
      </c>
      <c r="I54">
        <v>10000</v>
      </c>
      <c r="J54" s="35">
        <f>H54*G54</f>
        <v>3795.207369571492</v>
      </c>
      <c r="K54" s="35">
        <f>I54-J54</f>
        <v>6204.792630428508</v>
      </c>
    </row>
    <row r="55" spans="6:11" ht="12.75">
      <c r="F55">
        <v>8</v>
      </c>
      <c r="G55" s="63">
        <v>0.055</v>
      </c>
      <c r="H55" s="35">
        <f>H54-K54</f>
        <v>62798.9777254168</v>
      </c>
      <c r="I55">
        <v>10000</v>
      </c>
      <c r="J55" s="35">
        <f>H55*G55</f>
        <v>3453.943774897924</v>
      </c>
      <c r="K55" s="35">
        <f>I55-J55</f>
        <v>6546.0562251020765</v>
      </c>
    </row>
    <row r="56" spans="6:11" ht="12.75">
      <c r="F56">
        <v>9</v>
      </c>
      <c r="G56" s="63">
        <v>0.055</v>
      </c>
      <c r="H56" s="35">
        <f>H55-K55</f>
        <v>56252.921500314726</v>
      </c>
      <c r="I56">
        <v>10000</v>
      </c>
      <c r="J56" s="35">
        <f>H56*G56</f>
        <v>3093.91068251731</v>
      </c>
      <c r="K56" s="35">
        <f>I56-J56</f>
        <v>6906.089317482691</v>
      </c>
    </row>
    <row r="57" spans="6:11" ht="12.75">
      <c r="F57">
        <v>10</v>
      </c>
      <c r="G57" s="63">
        <v>0.055</v>
      </c>
      <c r="H57" s="35">
        <f>H56-K56</f>
        <v>49346.83218283203</v>
      </c>
      <c r="I57">
        <v>10000</v>
      </c>
      <c r="J57" s="35">
        <f>H57*G57</f>
        <v>2714.075770055762</v>
      </c>
      <c r="K57" s="35">
        <f>I57-J57</f>
        <v>7285.924229944238</v>
      </c>
    </row>
    <row r="58" spans="6:11" ht="12.75">
      <c r="F58">
        <v>11</v>
      </c>
      <c r="G58" s="63">
        <v>0.055</v>
      </c>
      <c r="H58" s="35">
        <f>H57-K57</f>
        <v>42060.90795288779</v>
      </c>
      <c r="I58">
        <v>10000</v>
      </c>
      <c r="J58" s="35">
        <f>H58*G58</f>
        <v>2313.3499374088287</v>
      </c>
      <c r="K58" s="35">
        <f>I58-J58</f>
        <v>7686.650062591171</v>
      </c>
    </row>
    <row r="59" spans="6:11" ht="12.75">
      <c r="F59">
        <v>12</v>
      </c>
      <c r="G59" s="63">
        <v>0.055</v>
      </c>
      <c r="H59" s="35">
        <f>H58-K58</f>
        <v>34374.25789029662</v>
      </c>
      <c r="I59">
        <v>10000</v>
      </c>
      <c r="J59" s="35">
        <f>H59*G59</f>
        <v>1890.5841839663142</v>
      </c>
      <c r="K59" s="35">
        <f>I59-J59</f>
        <v>8109.415816033686</v>
      </c>
    </row>
    <row r="60" spans="6:11" ht="12.75">
      <c r="F60">
        <v>13</v>
      </c>
      <c r="G60" s="63">
        <v>0.055</v>
      </c>
      <c r="H60" s="35">
        <f>H59-K59</f>
        <v>26264.842074262935</v>
      </c>
      <c r="I60">
        <v>10000</v>
      </c>
      <c r="J60" s="35">
        <f>H60*G60</f>
        <v>1444.5663140844615</v>
      </c>
      <c r="K60" s="35">
        <f>I60-J60</f>
        <v>8555.43368591554</v>
      </c>
    </row>
    <row r="61" spans="6:11" ht="12.75">
      <c r="F61">
        <v>14</v>
      </c>
      <c r="G61" s="63">
        <v>0.055</v>
      </c>
      <c r="H61" s="35">
        <f>H60-K60</f>
        <v>17709.408388347394</v>
      </c>
      <c r="I61">
        <v>10000</v>
      </c>
      <c r="J61" s="35">
        <f>H61*G61</f>
        <v>974.0174613591067</v>
      </c>
      <c r="K61" s="35">
        <f>I61-J61</f>
        <v>9025.982538640894</v>
      </c>
    </row>
    <row r="62" spans="6:11" ht="12.75">
      <c r="F62">
        <v>15</v>
      </c>
      <c r="G62" s="63">
        <v>0.055</v>
      </c>
      <c r="H62" s="35">
        <f>H61-K61</f>
        <v>8683.4258497065</v>
      </c>
      <c r="I62">
        <v>10000</v>
      </c>
      <c r="J62" s="35">
        <f>H62*G62</f>
        <v>477.5884217338575</v>
      </c>
      <c r="K62" s="35">
        <f>I62-J62</f>
        <v>9522.411578266143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 til GES projektudvikling</dc:title>
  <dc:subject/>
  <dc:creator>Inger</dc:creator>
  <cp:keywords/>
  <dc:description/>
  <cp:lastModifiedBy>Jørgen R. Madsen</cp:lastModifiedBy>
  <dcterms:created xsi:type="dcterms:W3CDTF">2008-11-28T19:57:56Z</dcterms:created>
  <dcterms:modified xsi:type="dcterms:W3CDTF">2010-03-15T11:40:06Z</dcterms:modified>
  <cp:category/>
  <cp:version/>
  <cp:contentType/>
  <cp:contentStatus/>
  <cp:revision>56</cp:revision>
</cp:coreProperties>
</file>